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drawings/drawing1.xml" ContentType="application/vnd.openxmlformats-officedocument.drawing+xml"/>
  <Override PartName="/xl/media/image1.jpeg" ContentType="image/jpeg"/>
  <Override PartName="/xl/media/image2.jpeg" ContentType="image/jpeg"/>
  <Override PartName="/xl/media/image3.jpeg" ContentType="image/jpeg"/>
  <Override PartName="/xl/media/image4.jpeg" ContentType="image/jpeg"/>
  <Override PartName="/xl/media/image5.jpeg" ContentType="image/jpeg"/>
  <Override PartName="/xl/media/image6.jpeg" ContentType="image/jpeg"/>
  <Override PartName="/xl/media/image7.jpeg" ContentType="image/jpeg"/>
  <Override PartName="/xl/media/image8.jpeg" ContentType="image/jpeg"/>
  <Override PartName="/xl/media/image9.jpeg" ContentType="image/jpeg"/>
  <Override PartName="/xl/media/image10.jpeg" ContentType="image/jpeg"/>
  <Override PartName="/xl/media/image11.jpeg" ContentType="image/jpeg"/>
  <Override PartName="/xl/media/image12.jpeg" ContentType="image/jpeg"/>
  <Override PartName="/xl/media/image13.jpeg" ContentType="image/jpeg"/>
  <Override PartName="/xl/media/image14.jpeg" ContentType="image/jpeg"/>
  <Override PartName="/xl/media/image15.jpeg" ContentType="image/jpeg"/>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Cover page" sheetId="2" r:id="rId5"/>
    <sheet name="USER GUIDE" sheetId="3" r:id="rId6"/>
    <sheet name="Window &amp; Door DATA INPUT" sheetId="4" r:id="rId7"/>
    <sheet name="RESULTS" sheetId="5" r:id="rId8"/>
    <sheet name="Compliance Checklist" sheetId="6" r:id="rId9"/>
    <sheet name="Part O Criteria" sheetId="7" r:id="rId10"/>
    <sheet name="Calculations" sheetId="8" r:id="rId11"/>
    <sheet name="Parameters" sheetId="9" r:id="rId12"/>
    <sheet name="Open Plan " sheetId="10" r:id="rId13"/>
  </sheets>
</workbook>
</file>

<file path=xl/comments1.xml><?xml version="1.0" encoding="utf-8"?>
<comments xmlns="http://schemas.openxmlformats.org/spreadsheetml/2006/main">
  <authors>
    <author>Tessa</author>
  </authors>
  <commentList>
    <comment ref="C5" authorId="0">
      <text>
        <r>
          <rPr>
            <sz val="11"/>
            <color indexed="8"/>
            <rFont val="Helvetica Neue"/>
          </rPr>
          <t>Tessa:
Gross Internal Area in accordance with the Code of Measuring Practice (RICS)</t>
        </r>
      </text>
    </comment>
    <comment ref="D5" authorId="0">
      <text>
        <r>
          <rPr>
            <sz val="11"/>
            <color indexed="8"/>
            <rFont val="Helvetica Neue"/>
          </rPr>
          <t>Tessa:
See USER GUIDE Step 3</t>
        </r>
      </text>
    </comment>
    <comment ref="C6" authorId="0">
      <text>
        <r>
          <rPr>
            <sz val="11"/>
            <color indexed="8"/>
            <rFont val="Helvetica Neue"/>
          </rPr>
          <t>Tessa:
Cross-ventilation is the ability to ventilate using openings on opposite facades of a dwelling. See USER GUIDE Box 1 for further information.</t>
        </r>
      </text>
    </comment>
    <comment ref="D6" authorId="0">
      <text>
        <r>
          <rPr>
            <sz val="11"/>
            <color indexed="8"/>
            <rFont val="Helvetica Neue"/>
          </rPr>
          <t>Tessa:
See USER GUIDE Step 4</t>
        </r>
      </text>
    </comment>
    <comment ref="B9" authorId="0">
      <text>
        <r>
          <rPr>
            <sz val="11"/>
            <color indexed="8"/>
            <rFont val="Helvetica Neue"/>
          </rPr>
          <t xml:space="preserve">Tessa:
See USER GUIDE Step 6
</t>
        </r>
      </text>
    </comment>
    <comment ref="C9" authorId="0">
      <text>
        <r>
          <rPr>
            <sz val="11"/>
            <color indexed="8"/>
            <rFont val="Helvetica Neue"/>
          </rPr>
          <t xml:space="preserve">Tessa:
See USER GUIDE Step 6
</t>
        </r>
      </text>
    </comment>
    <comment ref="D9" authorId="0">
      <text>
        <r>
          <rPr>
            <sz val="11"/>
            <color indexed="8"/>
            <rFont val="Helvetica Neue"/>
          </rPr>
          <t>Tessa:
Note that for dual activity rooms, the room depth is caped at 4.5m from the glazed facade.
See USER GUIDE Step 7 and Box 3 for details.</t>
        </r>
      </text>
    </comment>
    <comment ref="E9" authorId="0">
      <text>
        <r>
          <rPr>
            <sz val="11"/>
            <color indexed="8"/>
            <rFont val="Helvetica Neue"/>
          </rPr>
          <t>Tessa:
Each opening and non-opening section of each window needs to be recorded on a separate row. Feel free to use this column to help keep tabs on what you are inputting.
See also USER GUIDE Step 5 &amp; 8</t>
        </r>
      </text>
    </comment>
    <comment ref="F9" authorId="0">
      <text>
        <r>
          <rPr>
            <sz val="11"/>
            <color indexed="8"/>
            <rFont val="Helvetica Neue"/>
          </rPr>
          <t>Tessa:
Each opening and non-opening section of each window needs to be recorded on a separate row. Feel free to use this column to help keep tabs on what you are inputting.
See also USER GUIDE Step 5 &amp; 8 &amp; Box 2</t>
        </r>
      </text>
    </comment>
    <comment ref="G9" authorId="0">
      <text>
        <r>
          <rPr>
            <sz val="11"/>
            <color indexed="8"/>
            <rFont val="Helvetica Neue"/>
          </rPr>
          <t xml:space="preserve">Tessa:
See USER GUIDE Step 8
</t>
        </r>
      </text>
    </comment>
    <comment ref="H9" authorId="0">
      <text>
        <r>
          <rPr>
            <sz val="11"/>
            <color indexed="8"/>
            <rFont val="Helvetica Neue"/>
          </rPr>
          <t>Tessa:
This will allow the dwelling to be "turned" through the compass points depending on actual orientation on plot (which is an input on the RESULTS sheet).
See USER GUIDE Step 9 &amp; Box 4 for guidance.</t>
        </r>
      </text>
    </comment>
    <comment ref="I9" authorId="0">
      <text>
        <r>
          <rPr>
            <sz val="11"/>
            <color indexed="8"/>
            <rFont val="Helvetica Neue"/>
          </rPr>
          <t>Tessa:
For this to show an orientation, please enter correct orientation of house type plan 'clock face 6' on the site wide plan into RESULTS sheet cell H5.
See USER GUIDE Step 10 &amp; Box 4 &amp; Box 5 for details.</t>
        </r>
      </text>
    </comment>
    <comment ref="J9" authorId="0">
      <text>
        <r>
          <rPr>
            <sz val="11"/>
            <color indexed="8"/>
            <rFont val="Helvetica Neue"/>
          </rPr>
          <t xml:space="preserve">Tessa:
See USER GUIDE Step 12.
See USER GUIDE Box 8 for advice on how to input sash windows, and sliding or bifold windows and doors.
</t>
        </r>
      </text>
    </comment>
    <comment ref="K9" authorId="0">
      <text>
        <r>
          <rPr>
            <sz val="11"/>
            <color indexed="8"/>
            <rFont val="Helvetica Neue"/>
          </rPr>
          <t>Tessa:
See USER GUIDE Step 12.
If 'yes' then for windows and rooflights minimum opening height applies or guarding required. See Part O Para 3.8 - 3.10 and Table 3.1</t>
        </r>
      </text>
    </comment>
    <comment ref="L9" authorId="0">
      <text>
        <r>
          <rPr>
            <sz val="11"/>
            <color indexed="8"/>
            <rFont val="Helvetica Neue"/>
          </rPr>
          <t>Tessa:
Select whether you would like to enter glazing size by area or dimensions (width &amp; height)
See USER GUIDE Step 13</t>
        </r>
      </text>
    </comment>
    <comment ref="M9" authorId="0">
      <text>
        <r>
          <rPr>
            <sz val="11"/>
            <color indexed="8"/>
            <rFont val="Helvetica Neue"/>
          </rPr>
          <t>Tessa:
See USER GUIDE Step 14 &amp; Box 6</t>
        </r>
      </text>
    </comment>
    <comment ref="N9" authorId="0">
      <text>
        <r>
          <rPr>
            <sz val="11"/>
            <color indexed="8"/>
            <rFont val="Helvetica Neue"/>
          </rPr>
          <t>Tessa:
See USER GUIDE Step 14 &amp; Box 6</t>
        </r>
      </text>
    </comment>
    <comment ref="O9" authorId="0">
      <text>
        <r>
          <rPr>
            <sz val="11"/>
            <color indexed="8"/>
            <rFont val="Helvetica Neue"/>
          </rPr>
          <t>Tessa:
See USER GUIDE Step 14 &amp; Box 6</t>
        </r>
      </text>
    </comment>
    <comment ref="P9" authorId="0">
      <text>
        <r>
          <rPr>
            <sz val="11"/>
            <color indexed="8"/>
            <rFont val="Helvetica Neue"/>
          </rPr>
          <t>Tessa:
See USER GUIDE Step 15 &amp; 16 &amp; Box 7</t>
        </r>
      </text>
    </comment>
    <comment ref="Q9" authorId="0">
      <text>
        <r>
          <rPr>
            <sz val="11"/>
            <color indexed="8"/>
            <rFont val="Helvetica Neue"/>
          </rPr>
          <t>Tessa:
See USER GUIDE Step 15 &amp; 16 &amp; Box 7</t>
        </r>
      </text>
    </comment>
    <comment ref="R9" authorId="0">
      <text>
        <r>
          <rPr>
            <sz val="11"/>
            <color indexed="8"/>
            <rFont val="Helvetica Neue"/>
          </rPr>
          <t>Tessa:
See USER GUIDE Step 17 &amp; Box 9
'easily accessible' is defined as one of the following:
- A window or doorway, any part of which is within 2m vertically of an accessible level surface, such as the ground or basement level, or an access boundary.
- A window within 2m vertically of a flat or sloping roof (with a pitch of less than 30 degrees) that is within 3.5m of ground level.
(see Part O Appendix A: Key Terms)</t>
        </r>
      </text>
    </comment>
    <comment ref="S9" authorId="0">
      <text>
        <r>
          <rPr>
            <sz val="11"/>
            <color indexed="8"/>
            <rFont val="Helvetica Neue"/>
          </rPr>
          <t>Tessa:
See USER GUIDE Step 18 &amp; Box 10
Open windows can be made secure by using any of the following:
a. Fixed or lockable louvred shutters.
b. Fixed or lockable window grilles or railings. (see Part O Para 3.7)
In this spreadsheet we have assumed doors cannot be open at night if in GF or easily accessible bedroom.
If 'no' is selected, please enter daytime figures as indicated from column X</t>
        </r>
      </text>
    </comment>
    <comment ref="T9" authorId="0">
      <text>
        <r>
          <rPr>
            <sz val="11"/>
            <color indexed="8"/>
            <rFont val="Helvetica Neue"/>
          </rPr>
          <t>Tessa:
See USER GUIDE Step 19 &amp; Box 11
This should be the perpendicular measurement from frame to sash at the window's widest opening point (see USER GUIDE Box 11) with the security measures in place, also taking into account the max 650mm reach criteria (Part O Para 3.9a) and any other restrictions to opening.</t>
        </r>
      </text>
    </comment>
    <comment ref="U9" authorId="0">
      <text>
        <r>
          <rPr>
            <sz val="11"/>
            <color indexed="8"/>
            <rFont val="Helvetica Neue"/>
          </rPr>
          <t>Tessa:
See USER GUIDE Step 19 &amp; Box 11
This should be the perpendicular measurement from frame to sash at the window's widest opening point (see USER GUIDE Box 11) with the security measures in place, also taking into account the max 650mm reach criteria (Part O Para 3.9a) and any other restrictions to opening.</t>
        </r>
      </text>
    </comment>
    <comment ref="V9" authorId="0">
      <text>
        <r>
          <rPr>
            <sz val="11"/>
            <color indexed="8"/>
            <rFont val="Helvetica Neue"/>
          </rPr>
          <t>Tessa:
See USER GUIDE Step 19 &amp; Box 13 &amp; Box 14
Night-time opening angle with the security measures in place, also taking into account the max 650mm reach criteria (Part O Para 3.9a) and any other restrictions to opening.</t>
        </r>
      </text>
    </comment>
    <comment ref="W9" authorId="0">
      <text>
        <r>
          <rPr>
            <sz val="11"/>
            <color indexed="8"/>
            <rFont val="Helvetica Neue"/>
          </rPr>
          <t>Tessa:
See USER GUIDE Step 19 &amp; Box 13 &amp; Box 14
Daytime opening angle taking into account the max 650mm reach criteria (Part O Para 3.9a) and any other restrictions to opening.</t>
        </r>
      </text>
    </comment>
    <comment ref="X9" authorId="0">
      <text>
        <r>
          <rPr>
            <sz val="11"/>
            <color indexed="8"/>
            <rFont val="Helvetica Neue"/>
          </rPr>
          <t>Tessa:
See USER GUIDE Step 20
e.g. 100mm restrictor on window opening.</t>
        </r>
      </text>
    </comment>
    <comment ref="Y9" authorId="0">
      <text>
        <r>
          <rPr>
            <sz val="11"/>
            <color indexed="8"/>
            <rFont val="Helvetica Neue"/>
          </rPr>
          <t>Tessa:
See USER GUIDE Step 21 &amp; Box 12
This should be the perpendicular measurement from the window frame to the inside edge of the open sash with the restrictor in place (see USER GUIDE Box 12).</t>
        </r>
      </text>
    </comment>
    <comment ref="Z9" authorId="0">
      <text>
        <r>
          <rPr>
            <sz val="11"/>
            <color indexed="8"/>
            <rFont val="Helvetica Neue"/>
          </rPr>
          <t>Tessa:
See USER GUIDE Step 22 &amp; Box 12 for diagram</t>
        </r>
      </text>
    </comment>
    <comment ref="AA9" authorId="0">
      <text>
        <r>
          <rPr>
            <sz val="11"/>
            <color indexed="8"/>
            <rFont val="Helvetica Neue"/>
          </rPr>
          <t>Tessa:
See USER GUIDE Step 23 &amp; Box 13 &amp; Box 14
For rooflights, opening angle taking into account the max 650mm reach criteria (Part O Para 3.9a) and any other restrictions to opening - See USER GUIDE Box 13.
For inward opening window sash, opening angle taking into account any restrictions to window opening - See USER GUIDE Box 14.</t>
        </r>
      </text>
    </comment>
  </commentList>
</comments>
</file>

<file path=xl/comments2.xml><?xml version="1.0" encoding="utf-8"?>
<comments xmlns="http://schemas.openxmlformats.org/spreadsheetml/2006/main">
  <authors>
    <author>Tessa</author>
  </authors>
  <commentList>
    <comment ref="C3" authorId="0">
      <text>
        <r>
          <rPr>
            <sz val="11"/>
            <color indexed="8"/>
            <rFont val="Helvetica Neue"/>
          </rPr>
          <t>Tessa:
See Part O Para 3.1 &amp; 3.2-3.4</t>
        </r>
      </text>
    </comment>
    <comment ref="C4" authorId="0">
      <text>
        <r>
          <rPr>
            <sz val="11"/>
            <color indexed="8"/>
            <rFont val="Helvetica Neue"/>
          </rPr>
          <t>Tessa:
See Part O Para 3.1 &amp; 3.5</t>
        </r>
      </text>
    </comment>
    <comment ref="C5" authorId="0">
      <text>
        <r>
          <rPr>
            <sz val="11"/>
            <color indexed="8"/>
            <rFont val="Helvetica Neue"/>
          </rPr>
          <t>Tessa:
Refer to USER GUIDE Step 10, Box 4 and Box 5 for explanation</t>
        </r>
      </text>
    </comment>
    <comment ref="D9" authorId="0">
      <text>
        <r>
          <rPr>
            <sz val="11"/>
            <color indexed="8"/>
            <rFont val="Helvetica Neue"/>
          </rPr>
          <t>Tessa:
See USER GUIDE Step 27</t>
        </r>
      </text>
    </comment>
    <comment ref="C14" authorId="0">
      <text>
        <r>
          <rPr>
            <sz val="11"/>
            <color indexed="8"/>
            <rFont val="Helvetica Neue"/>
          </rPr>
          <t>Tessa:
See Part O para 1.3 for details</t>
        </r>
      </text>
    </comment>
    <comment ref="D14" authorId="0">
      <text>
        <r>
          <rPr>
            <sz val="11"/>
            <color indexed="8"/>
            <rFont val="Helvetica Neue"/>
          </rPr>
          <t xml:space="preserve">Tessa:
See USER GUIDE Step 28
</t>
        </r>
      </text>
    </comment>
    <comment ref="C15" authorId="0">
      <text>
        <r>
          <rPr>
            <sz val="11"/>
            <color indexed="8"/>
            <rFont val="Helvetica Neue"/>
          </rPr>
          <t>Tessa:
Shading required in high risk locations* on all glazed areas between compass points NE and NW via South. See Part O para 1.9 for details
*and where you want to use high risk location targets for limiting solar gains, which is beneficial if most glazed facade is West facing</t>
        </r>
      </text>
    </comment>
    <comment ref="D15" authorId="0">
      <text>
        <r>
          <rPr>
            <sz val="11"/>
            <color indexed="8"/>
            <rFont val="Helvetica Neue"/>
          </rPr>
          <t>Tessa:
See USER GUIDE Step 29</t>
        </r>
      </text>
    </comment>
  </commentList>
</comments>
</file>

<file path=xl/comments3.xml><?xml version="1.0" encoding="utf-8"?>
<comments xmlns="http://schemas.openxmlformats.org/spreadsheetml/2006/main">
  <authors>
    <author>Tessa</author>
  </authors>
  <commentList>
    <comment ref="O3" authorId="0">
      <text>
        <r>
          <rPr>
            <sz val="11"/>
            <color indexed="8"/>
            <rFont val="Helvetica Neue"/>
          </rPr>
          <t>Tessa:
A = not bedroom &amp; open
B = bedroom &amp; no security concerns
C = bedroom &amp; security concerns &amp; open
D = bedroom &amp; security concerns &amp; not open at night</t>
        </r>
      </text>
    </comment>
    <comment ref="P3" authorId="0">
      <text>
        <r>
          <rPr>
            <sz val="11"/>
            <color indexed="8"/>
            <rFont val="Helvetica Neue"/>
          </rPr>
          <t>Tessa:
E = opening door present in bedroom
F = opening door not present in bedroom</t>
        </r>
      </text>
    </comment>
    <comment ref="AY3" authorId="0">
      <text>
        <r>
          <rPr>
            <sz val="11"/>
            <color indexed="8"/>
            <rFont val="Helvetica Neue"/>
          </rPr>
          <t>Tessa:
If more than one glazed façade has max area, need to choose the one which gives most stringent target</t>
        </r>
      </text>
    </comment>
  </commentList>
</comments>
</file>

<file path=xl/comments4.xml><?xml version="1.0" encoding="utf-8"?>
<comments xmlns="http://schemas.openxmlformats.org/spreadsheetml/2006/main">
  <authors>
    <author>Tessa</author>
  </authors>
  <commentList>
    <comment ref="D3" authorId="0">
      <text>
        <r>
          <rPr>
            <sz val="11"/>
            <color indexed="8"/>
            <rFont val="Helvetica Neue"/>
          </rPr>
          <t>Tessa:
NOTE: If add a room, need to add a row in calculations sheet room summary</t>
        </r>
      </text>
    </comment>
  </commentList>
</comments>
</file>

<file path=xl/sharedStrings.xml><?xml version="1.0" encoding="utf-8"?>
<sst xmlns="http://schemas.openxmlformats.org/spreadsheetml/2006/main" uniqueCount="539">
  <si>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</si>
  <si>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</si>
  <si>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</si>
  <si>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</si>
  <si>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Cover page</t>
  </si>
  <si>
    <t>Table 1</t>
  </si>
  <si>
    <r>
      <rPr>
        <b val="1"/>
        <sz val="11"/>
        <color indexed="14"/>
        <rFont val="Calibri"/>
      </rPr>
      <t>Version:</t>
    </r>
    <r>
      <rPr>
        <sz val="11"/>
        <color indexed="14"/>
        <rFont val="Calibri"/>
      </rPr>
      <t xml:space="preserve"> </t>
    </r>
  </si>
  <si>
    <t>FHH-SM-BETA-1</t>
  </si>
  <si>
    <r>
      <rPr>
        <b val="1"/>
        <sz val="11"/>
        <color indexed="14"/>
        <rFont val="Calibri"/>
      </rPr>
      <t>Date of issue:</t>
    </r>
    <r>
      <rPr>
        <sz val="11"/>
        <color indexed="14"/>
        <rFont val="Calibri"/>
      </rPr>
      <t xml:space="preserve"> 15/09/2022</t>
    </r>
  </si>
  <si>
    <t>Part O Simplified Method spreadsheet tool</t>
  </si>
  <si>
    <t>© Future Homes Hub 2022</t>
  </si>
  <si>
    <t>This spreadsheet tool is an implementation of the Approved Document Part O (Overheating) 2021 edition (England) Simplified Method and is compatible with Excel 2010 or later.</t>
  </si>
  <si>
    <t>Permission is hereby granted, free of charge, to any person obtaining a copy of this spreadsheet tool, to copy, use, and distribute the spreadsheet tool, and to permit persons to who the spreadsheet tool is furnished to do so, subject to the following condition: The above copyright notice and this permission notice including the below disclaimer of liability shall be included in all copies or substantial portions of the spreadsheet tool.</t>
  </si>
  <si>
    <t>Disclaimer</t>
  </si>
  <si>
    <t>The spreadsheet tool is provided 'as is', without warranty of any kind, express or implied, including but not limited to any warranties of merchantability fitness for a particular purpose and non-infringement. In no event shall the authors or copyright holders be liable for any claim, damages or other liability, whether in an action of contract, tort or otherwise, arising from, out of or in connection with the spreadsheet tool or the use or other dealings in the spreadsheet tool.</t>
  </si>
  <si>
    <t>With thanks to</t>
  </si>
  <si>
    <t>Persimmon Homes, Susie Diamond (Inkling), Fabienne Blunden (Studio Partington), Tessa Hurstwyn, David Adams and the discharge coefficient calculator developed by Dr Benjamin Jones of Nottingham University.</t>
  </si>
  <si>
    <t>BETA RELEASE</t>
  </si>
  <si>
    <t>Should you have any comments, observations or suggestions please send them to
admin@futurehomes.org.uk</t>
  </si>
  <si>
    <t>USER GUIDE</t>
  </si>
  <si>
    <t>Version:</t>
  </si>
  <si>
    <r>
      <rPr>
        <sz val="11"/>
        <color indexed="14"/>
        <rFont val="Calibri"/>
      </rPr>
      <t>FHH-SM-BETA-1</t>
    </r>
  </si>
  <si>
    <t>Refer to the cover page for full legal notices</t>
  </si>
  <si>
    <t>This is a BETA version of the spreadsheet tool. When you use this tool please provide feedback to admin@futurehomes.org.uk to help with future updates. Thank you.</t>
  </si>
  <si>
    <t>General</t>
  </si>
  <si>
    <t>-</t>
  </si>
  <si>
    <t>This spreadsheet tool is an implementation of the Approved Document Part O (Overheating) 2021 edition (England) Simplified Method</t>
  </si>
  <si>
    <t>This spreadsheet tool is compatible with Excel 2010 or later</t>
  </si>
  <si>
    <t>It is best to be familiar with Approved Document Part O (AD-O) prior to using this tool</t>
  </si>
  <si>
    <t>The Simplified Method should only be used where external noise is not an issue (see AD-O para 3.2-3.4)</t>
  </si>
  <si>
    <t>If the dwelling is located near to significant external pollution sources it is unlikely to pass using the Simplified Method (see AD-O para 3.5)</t>
  </si>
  <si>
    <t>This version of the spreadsheet tool is not able to take account of ventilation provided by louvre vents</t>
  </si>
  <si>
    <t>A Builders Guide to Part O is available on the Future Homes Hub website</t>
  </si>
  <si>
    <t>A Technical Guide to Part O is available on the Future Homes Hub website</t>
  </si>
  <si>
    <r>
      <rPr>
        <sz val="11"/>
        <color indexed="16"/>
        <rFont val="Calibri"/>
      </rPr>
      <t xml:space="preserve">This spreadsheet has been provided for free and whilst every effort has been made to ensure it's accuracy the Future Homes Hub can assume no liability for errors or omissions. It is used entirely at the user's own risk.
</t>
    </r>
    <r>
      <rPr>
        <sz val="11"/>
        <color indexed="16"/>
        <rFont val="Calibri"/>
      </rPr>
      <t xml:space="preserve">Refer to the cover page for full legal notices.
</t>
    </r>
    <r>
      <rPr>
        <b val="1"/>
        <sz val="11"/>
        <color indexed="14"/>
        <rFont val="Calibri"/>
      </rPr>
      <t xml:space="preserve">
</t>
    </r>
    <r>
      <rPr>
        <b val="1"/>
        <sz val="11"/>
        <color indexed="14"/>
        <rFont val="Calibri"/>
      </rPr>
      <t xml:space="preserve">Should you have any comments, observations or suggestions please send them to: </t>
    </r>
    <r>
      <rPr>
        <b val="1"/>
        <sz val="11"/>
        <color indexed="15"/>
        <rFont val="Calibri"/>
      </rPr>
      <t>admin@futurehomes.org.uk</t>
    </r>
  </si>
  <si>
    <t>How to use: Overview</t>
  </si>
  <si>
    <t>a.</t>
  </si>
  <si>
    <t>Enter overall size (GIA) of dwelling being assessed and whether it is cross-ventilated into the "Window &amp; Door DATA INPUT" sheet</t>
  </si>
  <si>
    <t>b.</t>
  </si>
  <si>
    <t>Enter data on all openings (windows, doors, rooflights) for the dwelling being assessed into the "Window &amp; Door DATA INPUT" sheet</t>
  </si>
  <si>
    <t>c.</t>
  </si>
  <si>
    <t>Enter information on location and orientation of the dwelling being assessed into the "RESULTS" sheet</t>
  </si>
  <si>
    <t>Box 0</t>
  </si>
  <si>
    <t>d.</t>
  </si>
  <si>
    <t>For the dwelling to comply using the Simplified Method, all AD-O criteria (displayed as "targets" on the "RESULTS" sheet) need to be met</t>
  </si>
  <si>
    <t>If the answer to each of the following questions is 'NO', then the Simplified Method can be used.</t>
  </si>
  <si>
    <t>e.</t>
  </si>
  <si>
    <t>It may be necessary to iterate the design in order to pass all criteria</t>
  </si>
  <si>
    <t>i. Is there more than one residential unit with significant amounts of horizontal hot water pipes? (see AD-O para 1.13)
ii. Would opening the windows cause the night time noise limits to be broken? (see AD-O para 3.1 &amp; 3.2 - 3.4)
iii. Does external pollution prevent window opening? (See AD-O para 3.1 &amp; 3.5)</t>
  </si>
  <si>
    <t>f.</t>
  </si>
  <si>
    <t>A suggested compliance checklist that may be filled out and submitted to Building Control is included in "Compliance Checklist" sheet</t>
  </si>
  <si>
    <t>g.</t>
  </si>
  <si>
    <t>You will need to use a new copy of the spreadsheet tool for each dwelling you want to assess</t>
  </si>
  <si>
    <t>h.</t>
  </si>
  <si>
    <t>This process is described in detail below</t>
  </si>
  <si>
    <t>How to use: Detailed process steps</t>
  </si>
  <si>
    <t>Box 1</t>
  </si>
  <si>
    <t>Note that all data entry cells are coloured light yellow</t>
  </si>
  <si>
    <r>
      <rPr>
        <sz val="11"/>
        <color indexed="14"/>
        <rFont val="Calibri"/>
      </rPr>
      <t xml:space="preserve">Cross-ventilation means that the dwelling has </t>
    </r>
    <r>
      <rPr>
        <b val="1"/>
        <sz val="11"/>
        <color indexed="14"/>
        <rFont val="Calibri"/>
      </rPr>
      <t>openings on opposite façades</t>
    </r>
    <r>
      <rPr>
        <sz val="11"/>
        <color indexed="14"/>
        <rFont val="Calibri"/>
      </rPr>
      <t xml:space="preserve"> (see diagram below). </t>
    </r>
  </si>
  <si>
    <t>Input cells can be copied down a column, but do not copy input cells from left to right (across the row).</t>
  </si>
  <si>
    <r>
      <rPr>
        <sz val="11"/>
        <color indexed="14"/>
        <rFont val="Calibri"/>
      </rPr>
      <t xml:space="preserve">First ensure that the Simplified Method is applicable to the dwelling you want to assess. See </t>
    </r>
    <r>
      <rPr>
        <u val="single"/>
        <sz val="11"/>
        <color indexed="14"/>
        <rFont val="Calibri"/>
      </rPr>
      <t>Box 0</t>
    </r>
  </si>
  <si>
    <r>
      <rPr>
        <sz val="11"/>
        <color indexed="14"/>
        <rFont val="Calibri"/>
      </rPr>
      <t>Open the "</t>
    </r>
    <r>
      <rPr>
        <b val="1"/>
        <sz val="11"/>
        <color indexed="15"/>
        <rFont val="Calibri"/>
      </rPr>
      <t>Window &amp; Door DATA INPUT</t>
    </r>
    <r>
      <rPr>
        <sz val="11"/>
        <color indexed="14"/>
        <rFont val="Calibri"/>
      </rPr>
      <t>" tab</t>
    </r>
  </si>
  <si>
    <r>
      <rPr>
        <sz val="11"/>
        <color indexed="14"/>
        <rFont val="Calibri"/>
      </rPr>
      <t>Calculate the GIA of the dwelling (in m</t>
    </r>
    <r>
      <rPr>
        <vertAlign val="superscript"/>
        <sz val="11"/>
        <color indexed="14"/>
        <rFont val="Calibri"/>
      </rPr>
      <t>2</t>
    </r>
    <r>
      <rPr>
        <sz val="11"/>
        <color indexed="14"/>
        <rFont val="Calibri"/>
      </rPr>
      <t xml:space="preserve">) and enter it in cell </t>
    </r>
    <r>
      <rPr>
        <b val="1"/>
        <sz val="11"/>
        <color indexed="15"/>
        <rFont val="Calibri"/>
      </rPr>
      <t>D5</t>
    </r>
  </si>
  <si>
    <r>
      <rPr>
        <sz val="11"/>
        <color indexed="14"/>
        <rFont val="Calibri"/>
      </rPr>
      <t xml:space="preserve">Use the drop down in cell </t>
    </r>
    <r>
      <rPr>
        <b val="1"/>
        <sz val="11"/>
        <color indexed="15"/>
        <rFont val="Calibri"/>
      </rPr>
      <t>D6</t>
    </r>
    <r>
      <rPr>
        <sz val="11"/>
        <color indexed="14"/>
        <rFont val="Calibri"/>
      </rPr>
      <t xml:space="preserve"> to state whether the dwelling has cross-ventilation or not. See </t>
    </r>
    <r>
      <rPr>
        <u val="single"/>
        <sz val="11"/>
        <color indexed="14"/>
        <rFont val="Calibri"/>
      </rPr>
      <t>Box 1</t>
    </r>
    <r>
      <rPr>
        <sz val="11"/>
        <color indexed="14"/>
        <rFont val="Calibri"/>
      </rPr>
      <t xml:space="preserve"> for further information on what constitutes cross-ventilation </t>
    </r>
  </si>
  <si>
    <r>
      <rPr>
        <sz val="11"/>
        <color indexed="14"/>
        <rFont val="Calibri"/>
      </rPr>
      <t xml:space="preserve">Information on each glazed window pane, rooflight, and external door now needs to be entered into the spreadsheet, using a new row for each individual pane/opening within a window/door. It may be useful to number each glazed pane/ rooflight/ door across the elevations to help with this process. This numbering can be input into columns </t>
    </r>
    <r>
      <rPr>
        <b val="1"/>
        <sz val="11"/>
        <color indexed="15"/>
        <rFont val="Calibri"/>
      </rPr>
      <t>E</t>
    </r>
    <r>
      <rPr>
        <sz val="11"/>
        <color indexed="14"/>
        <rFont val="Calibri"/>
      </rPr>
      <t xml:space="preserve"> and</t>
    </r>
    <r>
      <rPr>
        <b val="1"/>
        <sz val="11"/>
        <color indexed="15"/>
        <rFont val="Calibri"/>
      </rPr>
      <t xml:space="preserve"> F</t>
    </r>
    <r>
      <rPr>
        <sz val="11"/>
        <color indexed="14"/>
        <rFont val="Calibri"/>
      </rPr>
      <t xml:space="preserve"> to help keep track. See </t>
    </r>
    <r>
      <rPr>
        <u val="single"/>
        <sz val="11"/>
        <color indexed="14"/>
        <rFont val="Calibri"/>
      </rPr>
      <t>Box 2</t>
    </r>
    <r>
      <rPr>
        <sz val="11"/>
        <color indexed="14"/>
        <rFont val="Calibri"/>
      </rPr>
      <t xml:space="preserve"> for an example.</t>
    </r>
  </si>
  <si>
    <r>
      <rPr>
        <sz val="11"/>
        <color indexed="14"/>
        <rFont val="Calibri"/>
      </rPr>
      <t xml:space="preserve">Using the dropdown in column </t>
    </r>
    <r>
      <rPr>
        <b val="1"/>
        <sz val="11"/>
        <color indexed="15"/>
        <rFont val="Calibri"/>
      </rPr>
      <t>B</t>
    </r>
    <r>
      <rPr>
        <sz val="11"/>
        <color indexed="14"/>
        <rFont val="Calibri"/>
      </rPr>
      <t xml:space="preserve">, enter the room in which the pane/sash is located. If you like you can add a description into column </t>
    </r>
    <r>
      <rPr>
        <b val="1"/>
        <sz val="11"/>
        <color indexed="15"/>
        <rFont val="Calibri"/>
      </rPr>
      <t>C</t>
    </r>
    <r>
      <rPr>
        <sz val="11"/>
        <color indexed="14"/>
        <rFont val="Calibri"/>
      </rPr>
      <t>.</t>
    </r>
  </si>
  <si>
    <t>Note that having openings on façades that are not opposite does not meet the AD-O definition of cross ventilation (e.g. corner flat).</t>
  </si>
  <si>
    <r>
      <rPr>
        <sz val="11"/>
        <color indexed="14"/>
        <rFont val="Calibri"/>
      </rPr>
      <t xml:space="preserve">Enter the floor area of the room in column </t>
    </r>
    <r>
      <rPr>
        <b val="1"/>
        <sz val="11"/>
        <color indexed="15"/>
        <rFont val="Calibri"/>
      </rPr>
      <t>D</t>
    </r>
    <r>
      <rPr>
        <sz val="11"/>
        <color indexed="14"/>
        <rFont val="Calibri"/>
      </rPr>
      <t xml:space="preserve">. Where a room serves more than one activity (e.g. living/ kitchen), the room area needs to be calculated based on a room depth no greater than 4.5m - see </t>
    </r>
    <r>
      <rPr>
        <u val="single"/>
        <sz val="11"/>
        <color indexed="14"/>
        <rFont val="Calibri"/>
      </rPr>
      <t>Box 3</t>
    </r>
    <r>
      <rPr>
        <sz val="11"/>
        <color indexed="14"/>
        <rFont val="Calibri"/>
      </rPr>
      <t xml:space="preserve"> for details.</t>
    </r>
  </si>
  <si>
    <t>Box 2</t>
  </si>
  <si>
    <r>
      <rPr>
        <sz val="11"/>
        <color indexed="14"/>
        <rFont val="Calibri"/>
      </rPr>
      <t xml:space="preserve">Now enter details about the pane/opening. Columns </t>
    </r>
    <r>
      <rPr>
        <b val="1"/>
        <sz val="11"/>
        <color indexed="15"/>
        <rFont val="Calibri"/>
      </rPr>
      <t>E</t>
    </r>
    <r>
      <rPr>
        <sz val="11"/>
        <color indexed="14"/>
        <rFont val="Calibri"/>
      </rPr>
      <t xml:space="preserve">, </t>
    </r>
    <r>
      <rPr>
        <b val="1"/>
        <sz val="11"/>
        <color indexed="15"/>
        <rFont val="Calibri"/>
      </rPr>
      <t>F</t>
    </r>
    <r>
      <rPr>
        <sz val="11"/>
        <color indexed="14"/>
        <rFont val="Calibri"/>
      </rPr>
      <t xml:space="preserve"> &amp; </t>
    </r>
    <r>
      <rPr>
        <b val="1"/>
        <sz val="11"/>
        <color indexed="15"/>
        <rFont val="Calibri"/>
      </rPr>
      <t>G</t>
    </r>
    <r>
      <rPr>
        <sz val="11"/>
        <color indexed="14"/>
        <rFont val="Calibri"/>
      </rPr>
      <t xml:space="preserve"> are not mandatory but will help you keep track of which window and pane you are inputting.</t>
    </r>
  </si>
  <si>
    <t>The diagram below shows the individual panes for an example window. Each pane should be entered into the spreadsheet as a separate row.</t>
  </si>
  <si>
    <r>
      <rPr>
        <sz val="11"/>
        <color indexed="14"/>
        <rFont val="Calibri"/>
      </rPr>
      <t>In order to allow a dwelling type to be entered once and then 'turned' to face whichever orientation is correct for individual plots, you will need to enter the location of the pane/opening relative to the plan view drawing, into column</t>
    </r>
    <r>
      <rPr>
        <b val="1"/>
        <sz val="11"/>
        <color indexed="15"/>
        <rFont val="Calibri"/>
      </rPr>
      <t xml:space="preserve"> H</t>
    </r>
    <r>
      <rPr>
        <sz val="11"/>
        <color indexed="14"/>
        <rFont val="Calibri"/>
      </rPr>
      <t xml:space="preserve">. To avoid confusion with the actual orientation of a particular plot we have defined this relative orientation as a clock face (3, 6, 9, 12). Please see </t>
    </r>
    <r>
      <rPr>
        <u val="single"/>
        <sz val="11"/>
        <color indexed="14"/>
        <rFont val="Calibri"/>
      </rPr>
      <t>Box 4</t>
    </r>
    <r>
      <rPr>
        <sz val="11"/>
        <color indexed="14"/>
        <rFont val="Calibri"/>
      </rPr>
      <t xml:space="preserve"> for details.</t>
    </r>
  </si>
  <si>
    <r>
      <rPr>
        <sz val="11"/>
        <color indexed="14"/>
        <rFont val="Calibri"/>
      </rPr>
      <t>The actual orientation of the dwelling on the site wide plan also needs to be entered. You can do this now by entering the actual orientation of 'clock face 6' (the bottom of the house type plan drawing) into the "</t>
    </r>
    <r>
      <rPr>
        <b val="1"/>
        <sz val="11"/>
        <color indexed="17"/>
        <rFont val="Calibri"/>
      </rPr>
      <t>RESULTS</t>
    </r>
    <r>
      <rPr>
        <sz val="11"/>
        <color indexed="14"/>
        <rFont val="Calibri"/>
      </rPr>
      <t xml:space="preserve">" tab, cell </t>
    </r>
    <r>
      <rPr>
        <b val="1"/>
        <sz val="11"/>
        <color indexed="17"/>
        <rFont val="Calibri"/>
      </rPr>
      <t>H5</t>
    </r>
    <r>
      <rPr>
        <sz val="11"/>
        <color indexed="14"/>
        <rFont val="Calibri"/>
      </rPr>
      <t xml:space="preserve"> (or you can do this later @ step 30). Note that generally the bottom of the house type plan will show the front façade, but this may not always be the case - so take care when working out the orientation of 'clock face 6' on the site wide plan. Note that AD-O requires the closest compass direction to be used (North, East, South, West). See </t>
    </r>
    <r>
      <rPr>
        <u val="single"/>
        <sz val="11"/>
        <color indexed="14"/>
        <rFont val="Calibri"/>
      </rPr>
      <t>Box 5</t>
    </r>
    <r>
      <rPr>
        <sz val="11"/>
        <color indexed="14"/>
        <rFont val="Calibri"/>
      </rPr>
      <t xml:space="preserve"> for further guidance, including where the facade is exactly NE, NW, SE or SW.</t>
    </r>
  </si>
  <si>
    <t>Box 3</t>
  </si>
  <si>
    <r>
      <rPr>
        <sz val="11"/>
        <color indexed="14"/>
        <rFont val="Calibri"/>
      </rPr>
      <t>If you have carried out step 10, the compass orientation of the pane will now be displayed in column</t>
    </r>
    <r>
      <rPr>
        <b val="1"/>
        <sz val="11"/>
        <color indexed="14"/>
        <rFont val="Calibri"/>
      </rPr>
      <t xml:space="preserve"> </t>
    </r>
    <r>
      <rPr>
        <b val="1"/>
        <sz val="11"/>
        <color indexed="15"/>
        <rFont val="Calibri"/>
      </rPr>
      <t>I</t>
    </r>
    <r>
      <rPr>
        <sz val="11"/>
        <color indexed="14"/>
        <rFont val="Calibri"/>
      </rPr>
      <t xml:space="preserve"> of the "</t>
    </r>
    <r>
      <rPr>
        <b val="1"/>
        <sz val="11"/>
        <color indexed="15"/>
        <rFont val="Calibri"/>
      </rPr>
      <t>Window &amp; Door DATA INPUT</t>
    </r>
    <r>
      <rPr>
        <sz val="11"/>
        <color indexed="14"/>
        <rFont val="Calibri"/>
      </rPr>
      <t>" tab.</t>
    </r>
  </si>
  <si>
    <t>Where a room serves more than one activity, you will need to calculate the room area based on a room depth no greater than 4.5m from the most glazed façade. See diagram below.</t>
  </si>
  <si>
    <r>
      <rPr>
        <sz val="11"/>
        <color indexed="14"/>
        <rFont val="Calibri"/>
      </rPr>
      <t xml:space="preserve">Enter the pane/opening type from the drop down menu in column </t>
    </r>
    <r>
      <rPr>
        <b val="1"/>
        <sz val="11"/>
        <color indexed="15"/>
        <rFont val="Calibri"/>
      </rPr>
      <t>J</t>
    </r>
    <r>
      <rPr>
        <sz val="11"/>
        <color indexed="14"/>
        <rFont val="Calibri"/>
      </rPr>
      <t xml:space="preserve">. If it is not a fixed pane, you will then be asked whether it is to be used as part of the overheating mitigation strategy in column </t>
    </r>
    <r>
      <rPr>
        <b val="1"/>
        <sz val="11"/>
        <color indexed="15"/>
        <rFont val="Calibri"/>
      </rPr>
      <t>K</t>
    </r>
    <r>
      <rPr>
        <sz val="11"/>
        <color indexed="14"/>
        <rFont val="Calibri"/>
      </rPr>
      <t xml:space="preserve"> - if yes then it must meet the minimum opening height or guarding requirements. See AD-O Para 3.8 - 3.10 and Table 3.1 for details.</t>
    </r>
  </si>
  <si>
    <r>
      <rPr>
        <sz val="11"/>
        <color indexed="14"/>
        <rFont val="Calibri"/>
      </rPr>
      <t>Next choose whether you want to enter the glazed pane by area (m</t>
    </r>
    <r>
      <rPr>
        <vertAlign val="superscript"/>
        <sz val="11"/>
        <color indexed="14"/>
        <rFont val="Calibri"/>
      </rPr>
      <t>2</t>
    </r>
    <r>
      <rPr>
        <sz val="11"/>
        <color indexed="14"/>
        <rFont val="Calibri"/>
      </rPr>
      <t xml:space="preserve">) or dimensions (width (m) &amp; height (m)) using the drop down in column </t>
    </r>
    <r>
      <rPr>
        <b val="1"/>
        <sz val="11"/>
        <color indexed="15"/>
        <rFont val="Calibri"/>
      </rPr>
      <t>L</t>
    </r>
  </si>
  <si>
    <r>
      <rPr>
        <sz val="11"/>
        <color indexed="14"/>
        <rFont val="Calibri"/>
      </rPr>
      <t>Enter either the glazed pane dimensions into columns</t>
    </r>
    <r>
      <rPr>
        <b val="1"/>
        <sz val="11"/>
        <color indexed="15"/>
        <rFont val="Calibri"/>
      </rPr>
      <t xml:space="preserve"> M</t>
    </r>
    <r>
      <rPr>
        <sz val="11"/>
        <color indexed="14"/>
        <rFont val="Calibri"/>
      </rPr>
      <t xml:space="preserve"> &amp; </t>
    </r>
    <r>
      <rPr>
        <b val="1"/>
        <sz val="11"/>
        <color indexed="15"/>
        <rFont val="Calibri"/>
      </rPr>
      <t>N</t>
    </r>
    <r>
      <rPr>
        <sz val="11"/>
        <color indexed="14"/>
        <rFont val="Calibri"/>
      </rPr>
      <t xml:space="preserve"> or area into column</t>
    </r>
    <r>
      <rPr>
        <b val="1"/>
        <sz val="11"/>
        <color indexed="15"/>
        <rFont val="Calibri"/>
      </rPr>
      <t xml:space="preserve"> O </t>
    </r>
    <r>
      <rPr>
        <sz val="11"/>
        <color indexed="14"/>
        <rFont val="Calibri"/>
      </rPr>
      <t xml:space="preserve">(whichever cells are coloured yellow). This is just the glazed portion of the pane/opening - see </t>
    </r>
    <r>
      <rPr>
        <u val="single"/>
        <sz val="11"/>
        <color indexed="14"/>
        <rFont val="Calibri"/>
      </rPr>
      <t>Box 6</t>
    </r>
    <r>
      <rPr>
        <sz val="11"/>
        <color indexed="14"/>
        <rFont val="Calibri"/>
      </rPr>
      <t xml:space="preserve"> for further information.</t>
    </r>
  </si>
  <si>
    <r>
      <rPr>
        <sz val="11"/>
        <color indexed="14"/>
        <rFont val="Calibri"/>
      </rPr>
      <t>For opening panes (referred to as "sash" in the spreadsheet), enter the width into column</t>
    </r>
    <r>
      <rPr>
        <b val="1"/>
        <sz val="11"/>
        <color indexed="15"/>
        <rFont val="Calibri"/>
      </rPr>
      <t xml:space="preserve"> P</t>
    </r>
    <r>
      <rPr>
        <sz val="11"/>
        <color indexed="14"/>
        <rFont val="Calibri"/>
      </rPr>
      <t xml:space="preserve"> and height into column </t>
    </r>
    <r>
      <rPr>
        <b val="1"/>
        <sz val="11"/>
        <color indexed="15"/>
        <rFont val="Calibri"/>
      </rPr>
      <t>Q</t>
    </r>
    <r>
      <rPr>
        <sz val="11"/>
        <color indexed="14"/>
        <rFont val="Calibri"/>
      </rPr>
      <t xml:space="preserve">. It is important that these are input into the correct columns (i.e. width into column P and height into column Q) in order for the equivalent area calculations to be correct. This is the dimensions of the opening part of the window pane, including frame - see </t>
    </r>
    <r>
      <rPr>
        <u val="single"/>
        <sz val="11"/>
        <color indexed="14"/>
        <rFont val="Calibri"/>
      </rPr>
      <t>Box 7</t>
    </r>
    <r>
      <rPr>
        <sz val="11"/>
        <color indexed="14"/>
        <rFont val="Calibri"/>
      </rPr>
      <t xml:space="preserve"> for further information.</t>
    </r>
  </si>
  <si>
    <r>
      <rPr>
        <sz val="11"/>
        <color indexed="14"/>
        <rFont val="Calibri"/>
      </rPr>
      <t xml:space="preserve">Guidance on how to input sliding doors/windows, bifold doors/windows, and sash windows can be found in </t>
    </r>
    <r>
      <rPr>
        <u val="single"/>
        <sz val="11"/>
        <color indexed="14"/>
        <rFont val="Calibri"/>
      </rPr>
      <t>Box 8</t>
    </r>
    <r>
      <rPr>
        <sz val="11"/>
        <color indexed="14"/>
        <rFont val="Calibri"/>
      </rPr>
      <t>.</t>
    </r>
  </si>
  <si>
    <t>Box 4</t>
  </si>
  <si>
    <r>
      <rPr>
        <sz val="11"/>
        <color indexed="14"/>
        <rFont val="Calibri"/>
      </rPr>
      <t xml:space="preserve">For bedrooms, you will now need to select whether the window or door is on the ground floor or 'easily accessible' in column </t>
    </r>
    <r>
      <rPr>
        <b val="1"/>
        <sz val="11"/>
        <color indexed="15"/>
        <rFont val="Calibri"/>
      </rPr>
      <t>R</t>
    </r>
    <r>
      <rPr>
        <sz val="11"/>
        <color indexed="14"/>
        <rFont val="Calibri"/>
      </rPr>
      <t xml:space="preserve">. See </t>
    </r>
    <r>
      <rPr>
        <u val="single"/>
        <sz val="11"/>
        <color indexed="14"/>
        <rFont val="Calibri"/>
      </rPr>
      <t>Box 9</t>
    </r>
    <r>
      <rPr>
        <sz val="11"/>
        <color indexed="14"/>
        <rFont val="Calibri"/>
      </rPr>
      <t xml:space="preserve"> for guidance.</t>
    </r>
  </si>
  <si>
    <t>On the plan view drawing of the dwelling, assign windows/openings facing the top of the page '12', right of the page '3', bottom of the page '6', and left of the page '9' (as a clock face). See diagram below.</t>
  </si>
  <si>
    <r>
      <rPr>
        <sz val="11"/>
        <color indexed="14"/>
        <rFont val="Calibri"/>
      </rPr>
      <t xml:space="preserve">If the answer is yes, then there is a further question regarding security in column </t>
    </r>
    <r>
      <rPr>
        <b val="1"/>
        <sz val="11"/>
        <color indexed="15"/>
        <rFont val="Calibri"/>
      </rPr>
      <t>S</t>
    </r>
    <r>
      <rPr>
        <sz val="11"/>
        <color indexed="14"/>
        <rFont val="Calibri"/>
      </rPr>
      <t xml:space="preserve">. See </t>
    </r>
    <r>
      <rPr>
        <u val="single"/>
        <sz val="11"/>
        <color indexed="14"/>
        <rFont val="Calibri"/>
      </rPr>
      <t>Box 10</t>
    </r>
    <r>
      <rPr>
        <sz val="11"/>
        <color indexed="14"/>
        <rFont val="Calibri"/>
      </rPr>
      <t xml:space="preserve"> for guidance.</t>
    </r>
  </si>
  <si>
    <r>
      <rPr>
        <sz val="11"/>
        <color indexed="14"/>
        <rFont val="Calibri"/>
      </rPr>
      <t xml:space="preserve">If the window is secure for night-time opening, then depending on the window type you will be asked to enter either the secure night-time opening distance (column </t>
    </r>
    <r>
      <rPr>
        <b val="1"/>
        <sz val="11"/>
        <color indexed="15"/>
        <rFont val="Calibri"/>
      </rPr>
      <t>T</t>
    </r>
    <r>
      <rPr>
        <sz val="11"/>
        <color indexed="14"/>
        <rFont val="Calibri"/>
      </rPr>
      <t>) and daytime opening distance (column</t>
    </r>
    <r>
      <rPr>
        <b val="1"/>
        <sz val="11"/>
        <color indexed="15"/>
        <rFont val="Calibri"/>
      </rPr>
      <t xml:space="preserve"> U</t>
    </r>
    <r>
      <rPr>
        <sz val="11"/>
        <color indexed="14"/>
        <rFont val="Calibri"/>
      </rPr>
      <t>) or the secure night-time opening angle (column</t>
    </r>
    <r>
      <rPr>
        <sz val="11"/>
        <color indexed="15"/>
        <rFont val="Calibri"/>
      </rPr>
      <t xml:space="preserve"> </t>
    </r>
    <r>
      <rPr>
        <b val="1"/>
        <sz val="11"/>
        <color indexed="15"/>
        <rFont val="Calibri"/>
      </rPr>
      <t>V</t>
    </r>
    <r>
      <rPr>
        <sz val="11"/>
        <color indexed="14"/>
        <rFont val="Calibri"/>
      </rPr>
      <t xml:space="preserve">) and daytime opening angle (column </t>
    </r>
    <r>
      <rPr>
        <b val="1"/>
        <sz val="11"/>
        <color indexed="15"/>
        <rFont val="Calibri"/>
      </rPr>
      <t>W</t>
    </r>
    <r>
      <rPr>
        <sz val="11"/>
        <color indexed="14"/>
        <rFont val="Calibri"/>
      </rPr>
      <t xml:space="preserve">). This must take into account the 650mm maximum reach criteria. See </t>
    </r>
    <r>
      <rPr>
        <u val="single"/>
        <sz val="11"/>
        <color indexed="14"/>
        <rFont val="Calibri"/>
      </rPr>
      <t>Box 11</t>
    </r>
    <r>
      <rPr>
        <sz val="11"/>
        <color indexed="14"/>
        <rFont val="Calibri"/>
      </rPr>
      <t xml:space="preserve">, </t>
    </r>
    <r>
      <rPr>
        <u val="single"/>
        <sz val="11"/>
        <color indexed="14"/>
        <rFont val="Calibri"/>
      </rPr>
      <t>Box 13</t>
    </r>
    <r>
      <rPr>
        <sz val="11"/>
        <color indexed="14"/>
        <rFont val="Calibri"/>
      </rPr>
      <t xml:space="preserve"> &amp; </t>
    </r>
    <r>
      <rPr>
        <u val="single"/>
        <sz val="11"/>
        <color indexed="14"/>
        <rFont val="Calibri"/>
      </rPr>
      <t>Box 14</t>
    </r>
    <r>
      <rPr>
        <sz val="11"/>
        <color indexed="14"/>
        <rFont val="Calibri"/>
      </rPr>
      <t xml:space="preserve"> for guidance.</t>
    </r>
  </si>
  <si>
    <r>
      <rPr>
        <sz val="11"/>
        <color indexed="14"/>
        <rFont val="Calibri"/>
      </rPr>
      <t xml:space="preserve">For all windows/ rooflights not in ground floor or easily accessible bedrooms, the next information to enter is whether the opening is restricted in any way to provide additional protection from falling. Use the drop down in column </t>
    </r>
    <r>
      <rPr>
        <b val="1"/>
        <sz val="11"/>
        <color indexed="15"/>
        <rFont val="Calibri"/>
      </rPr>
      <t>X</t>
    </r>
    <r>
      <rPr>
        <sz val="11"/>
        <color indexed="14"/>
        <rFont val="Calibri"/>
      </rPr>
      <t xml:space="preserve"> to indicate this. </t>
    </r>
  </si>
  <si>
    <r>
      <rPr>
        <sz val="11"/>
        <color indexed="14"/>
        <rFont val="Calibri"/>
      </rPr>
      <t xml:space="preserve">If there is a restrictor, enter the opening distance (in mm) in column </t>
    </r>
    <r>
      <rPr>
        <b val="1"/>
        <sz val="11"/>
        <color indexed="15"/>
        <rFont val="Calibri"/>
      </rPr>
      <t>Y</t>
    </r>
    <r>
      <rPr>
        <sz val="11"/>
        <color indexed="14"/>
        <rFont val="Calibri"/>
      </rPr>
      <t xml:space="preserve">. This should be the measurement of the gap at the window's widest opening point with the restrictor in place. See </t>
    </r>
    <r>
      <rPr>
        <u val="single"/>
        <sz val="11"/>
        <color indexed="14"/>
        <rFont val="Calibri"/>
      </rPr>
      <t>Box 11</t>
    </r>
    <r>
      <rPr>
        <sz val="11"/>
        <color indexed="14"/>
        <rFont val="Calibri"/>
      </rPr>
      <t xml:space="preserve"> for guidance.</t>
    </r>
  </si>
  <si>
    <r>
      <rPr>
        <sz val="11"/>
        <color indexed="14"/>
        <rFont val="Calibri"/>
      </rPr>
      <t xml:space="preserve">For outward opening top and side hung windows, the spreadsheet will automatically calculate the opening angle taking into account the 650mm reach criteria. You will need to enter the distance (in mm) from the inside wall to the window frame into column </t>
    </r>
    <r>
      <rPr>
        <b val="1"/>
        <sz val="11"/>
        <color indexed="15"/>
        <rFont val="Calibri"/>
      </rPr>
      <t>Z</t>
    </r>
    <r>
      <rPr>
        <sz val="11"/>
        <color indexed="14"/>
        <rFont val="Calibri"/>
      </rPr>
      <t xml:space="preserve">. An allowance has been made for certain features - see </t>
    </r>
    <r>
      <rPr>
        <u val="single"/>
        <sz val="11"/>
        <color indexed="14"/>
        <rFont val="Calibri"/>
      </rPr>
      <t>Box 12</t>
    </r>
    <r>
      <rPr>
        <sz val="11"/>
        <color indexed="14"/>
        <rFont val="Calibri"/>
      </rPr>
      <t xml:space="preserve"> for details.  </t>
    </r>
  </si>
  <si>
    <r>
      <rPr>
        <sz val="11"/>
        <color indexed="14"/>
        <rFont val="Calibri"/>
      </rPr>
      <t xml:space="preserve">For inward opening windows and rooflights you will need to enter the opening angle in column </t>
    </r>
    <r>
      <rPr>
        <b val="1"/>
        <sz val="11"/>
        <color indexed="15"/>
        <rFont val="Calibri"/>
      </rPr>
      <t>AA</t>
    </r>
    <r>
      <rPr>
        <sz val="11"/>
        <color indexed="14"/>
        <rFont val="Calibri"/>
      </rPr>
      <t xml:space="preserve">. For rooflights this must take into account the maximum 650mm reach criteria and any other restrictions to opening - see </t>
    </r>
    <r>
      <rPr>
        <u val="single"/>
        <sz val="11"/>
        <color indexed="14"/>
        <rFont val="Calibri"/>
      </rPr>
      <t>Box 13</t>
    </r>
    <r>
      <rPr>
        <sz val="11"/>
        <color indexed="14"/>
        <rFont val="Calibri"/>
      </rPr>
      <t xml:space="preserve">. For inward opening windows this must take into account any restrictions to opening (the 650mm criteria does not apply) - see </t>
    </r>
    <r>
      <rPr>
        <u val="single"/>
        <sz val="11"/>
        <color indexed="14"/>
        <rFont val="Calibri"/>
      </rPr>
      <t>Box 14</t>
    </r>
    <r>
      <rPr>
        <sz val="11"/>
        <color indexed="14"/>
        <rFont val="Calibri"/>
      </rPr>
      <t>. If the opening angle is &gt;90 degrees, enter 90.</t>
    </r>
  </si>
  <si>
    <t>Box 5</t>
  </si>
  <si>
    <t>The orientation of 'clock face 6' on the house type plan can be determined by looking at the plot on the site wide plan. See example below.</t>
  </si>
  <si>
    <r>
      <rPr>
        <sz val="11"/>
        <color indexed="14"/>
        <rFont val="Calibri"/>
      </rPr>
      <t xml:space="preserve">Columns </t>
    </r>
    <r>
      <rPr>
        <b val="1"/>
        <sz val="11"/>
        <color indexed="15"/>
        <rFont val="Calibri"/>
      </rPr>
      <t>AB</t>
    </r>
    <r>
      <rPr>
        <sz val="11"/>
        <color indexed="14"/>
        <rFont val="Calibri"/>
      </rPr>
      <t xml:space="preserve"> and </t>
    </r>
    <r>
      <rPr>
        <b val="1"/>
        <sz val="11"/>
        <color indexed="15"/>
        <rFont val="Calibri"/>
      </rPr>
      <t>AC</t>
    </r>
    <r>
      <rPr>
        <sz val="11"/>
        <color indexed="14"/>
        <rFont val="Calibri"/>
      </rPr>
      <t xml:space="preserve"> will display the calculated opening angle to allow for a sense check</t>
    </r>
  </si>
  <si>
    <t>Complete the above information [steps 5 to 23] for all windows, doors and rooflights, using a new row for each individual pane/opening</t>
  </si>
  <si>
    <r>
      <rPr>
        <sz val="11"/>
        <color indexed="14"/>
        <rFont val="Calibri"/>
      </rPr>
      <t>Open the "</t>
    </r>
    <r>
      <rPr>
        <b val="1"/>
        <sz val="11"/>
        <color indexed="17"/>
        <rFont val="Calibri"/>
      </rPr>
      <t>RESULTS</t>
    </r>
    <r>
      <rPr>
        <sz val="11"/>
        <color indexed="14"/>
        <rFont val="Calibri"/>
      </rPr>
      <t>" tab</t>
    </r>
  </si>
  <si>
    <r>
      <rPr>
        <sz val="11"/>
        <color indexed="14"/>
        <rFont val="Calibri"/>
      </rPr>
      <t xml:space="preserve">Here you can enter information about the site and plot (cells </t>
    </r>
    <r>
      <rPr>
        <b val="1"/>
        <sz val="11"/>
        <color indexed="17"/>
        <rFont val="Calibri"/>
      </rPr>
      <t>D9</t>
    </r>
    <r>
      <rPr>
        <sz val="11"/>
        <color indexed="14"/>
        <rFont val="Calibri"/>
      </rPr>
      <t xml:space="preserve">, </t>
    </r>
    <r>
      <rPr>
        <b val="1"/>
        <sz val="11"/>
        <color indexed="17"/>
        <rFont val="Calibri"/>
      </rPr>
      <t>D10</t>
    </r>
    <r>
      <rPr>
        <sz val="11"/>
        <color indexed="14"/>
        <rFont val="Calibri"/>
      </rPr>
      <t xml:space="preserve">, </t>
    </r>
    <r>
      <rPr>
        <b val="1"/>
        <sz val="11"/>
        <color indexed="17"/>
        <rFont val="Calibri"/>
      </rPr>
      <t>D11</t>
    </r>
    <r>
      <rPr>
        <sz val="11"/>
        <color indexed="14"/>
        <rFont val="Calibri"/>
      </rPr>
      <t xml:space="preserve"> &amp; </t>
    </r>
    <r>
      <rPr>
        <b val="1"/>
        <sz val="11"/>
        <color indexed="17"/>
        <rFont val="Calibri"/>
      </rPr>
      <t>D12</t>
    </r>
    <r>
      <rPr>
        <sz val="11"/>
        <color indexed="14"/>
        <rFont val="Calibri"/>
      </rPr>
      <t>) and can include an image of the dwelling in the right hand box</t>
    </r>
  </si>
  <si>
    <r>
      <rPr>
        <sz val="11"/>
        <color indexed="14"/>
        <rFont val="Calibri"/>
      </rPr>
      <t xml:space="preserve">You need to enter the location risk category for the dwelling into cell </t>
    </r>
    <r>
      <rPr>
        <b val="1"/>
        <sz val="11"/>
        <color indexed="17"/>
        <rFont val="Calibri"/>
      </rPr>
      <t>D14</t>
    </r>
    <r>
      <rPr>
        <sz val="11"/>
        <color indexed="14"/>
        <rFont val="Calibri"/>
      </rPr>
      <t xml:space="preserve">. The location categories are defined in AD-O section 1.3. Most of England is defined as "Moderate Risk", but urban and some suburban parts of London are defined as "High Risk", and there is also guidance on parts of central Manchester. Refer to AD-O for details. </t>
    </r>
  </si>
  <si>
    <r>
      <rPr>
        <sz val="11"/>
        <color indexed="14"/>
        <rFont val="Calibri"/>
      </rPr>
      <t xml:space="preserve">Use the drop down in cell </t>
    </r>
    <r>
      <rPr>
        <b val="1"/>
        <sz val="11"/>
        <color indexed="17"/>
        <rFont val="Calibri"/>
      </rPr>
      <t>D15</t>
    </r>
    <r>
      <rPr>
        <sz val="11"/>
        <color indexed="14"/>
        <rFont val="Calibri"/>
      </rPr>
      <t xml:space="preserve"> to indicate whether shading is provided. Shading must be provided in High Risk areas. See AD-O para 1.9 for details. If the dwelling is in a Moderate Risk location but the largest glazed façade is orientated West, it may be advantageous to provide shading and use the less onerous High Risk criteria. The spreadsheet tool will automatically use the High Risk criteria in this situation.</t>
    </r>
  </si>
  <si>
    <t>The closest compass direction to the orientation of the façade should be used (North, East, South, West).</t>
  </si>
  <si>
    <r>
      <rPr>
        <sz val="11"/>
        <color indexed="14"/>
        <rFont val="Calibri"/>
      </rPr>
      <t xml:space="preserve">If you have not already done so, enter the orientation of the bottom of the plan drawing in cell </t>
    </r>
    <r>
      <rPr>
        <b val="1"/>
        <sz val="11"/>
        <color indexed="17"/>
        <rFont val="Calibri"/>
      </rPr>
      <t>H5</t>
    </r>
    <r>
      <rPr>
        <sz val="11"/>
        <color indexed="14"/>
        <rFont val="Calibri"/>
      </rPr>
      <t xml:space="preserve">. Note that AD-O requires the closest compass direction to be used (North, East, South, West). See step 10, </t>
    </r>
    <r>
      <rPr>
        <u val="single"/>
        <sz val="11"/>
        <color indexed="14"/>
        <rFont val="Calibri"/>
      </rPr>
      <t>Box 4</t>
    </r>
    <r>
      <rPr>
        <sz val="11"/>
        <color indexed="14"/>
        <rFont val="Calibri"/>
      </rPr>
      <t xml:space="preserve"> and </t>
    </r>
    <r>
      <rPr>
        <u val="single"/>
        <sz val="11"/>
        <color indexed="14"/>
        <rFont val="Calibri"/>
      </rPr>
      <t>Box 5</t>
    </r>
    <r>
      <rPr>
        <sz val="11"/>
        <color indexed="14"/>
        <rFont val="Calibri"/>
      </rPr>
      <t xml:space="preserve"> for further information.</t>
    </r>
  </si>
  <si>
    <r>
      <rPr>
        <sz val="11"/>
        <color indexed="14"/>
        <rFont val="Calibri"/>
      </rPr>
      <t>AD-O FAQ5 states that if the most glazed façade is facing exactly between two compass points the orientation with the higher (more stringent) standard should be used. Within this spreadsheet tool this means that you will need to test the dwelling in both orientations (e.g. if the direction of 'clock face 6' is SW, then check whether the compliance targets are met with "</t>
    </r>
    <r>
      <rPr>
        <b val="1"/>
        <sz val="11"/>
        <color indexed="17"/>
        <rFont val="Calibri"/>
      </rPr>
      <t>RESULTS</t>
    </r>
    <r>
      <rPr>
        <sz val="11"/>
        <color indexed="14"/>
        <rFont val="Calibri"/>
      </rPr>
      <t xml:space="preserve">" tab cell </t>
    </r>
    <r>
      <rPr>
        <b val="1"/>
        <sz val="11"/>
        <color indexed="17"/>
        <rFont val="Calibri"/>
      </rPr>
      <t>H5</t>
    </r>
    <r>
      <rPr>
        <sz val="11"/>
        <color indexed="14"/>
        <rFont val="Calibri"/>
      </rPr>
      <t xml:space="preserve"> set to  South and again with cell </t>
    </r>
    <r>
      <rPr>
        <b val="1"/>
        <sz val="11"/>
        <color indexed="17"/>
        <rFont val="Calibri"/>
      </rPr>
      <t>H5</t>
    </r>
    <r>
      <rPr>
        <sz val="11"/>
        <color indexed="14"/>
        <rFont val="Calibri"/>
      </rPr>
      <t xml:space="preserve"> set to West). The dwelling must pass the target criteria for both orientations in order to comply with AD-O. You will need to do this when you get to step 32.</t>
    </r>
  </si>
  <si>
    <r>
      <rPr>
        <sz val="11"/>
        <color indexed="14"/>
        <rFont val="Calibri"/>
      </rPr>
      <t xml:space="preserve">Cells </t>
    </r>
    <r>
      <rPr>
        <b val="1"/>
        <sz val="11"/>
        <color indexed="17"/>
        <rFont val="Calibri"/>
      </rPr>
      <t>H3</t>
    </r>
    <r>
      <rPr>
        <sz val="11"/>
        <color indexed="14"/>
        <rFont val="Calibri"/>
      </rPr>
      <t xml:space="preserve"> and </t>
    </r>
    <r>
      <rPr>
        <b val="1"/>
        <sz val="11"/>
        <color indexed="17"/>
        <rFont val="Calibri"/>
      </rPr>
      <t>H4</t>
    </r>
    <r>
      <rPr>
        <sz val="11"/>
        <color indexed="14"/>
        <rFont val="Calibri"/>
      </rPr>
      <t xml:space="preserve"> are checks to ensure the Simplified Method is applicable to the location of the dwelling. Use the drop downs to indicate the answers.</t>
    </r>
  </si>
  <si>
    <r>
      <rPr>
        <sz val="11"/>
        <color indexed="14"/>
        <rFont val="Calibri"/>
      </rPr>
      <t xml:space="preserve">The outcome of the assessment is shown in the Results section (rows </t>
    </r>
    <r>
      <rPr>
        <b val="1"/>
        <sz val="11"/>
        <color indexed="17"/>
        <rFont val="Calibri"/>
      </rPr>
      <t>20</t>
    </r>
    <r>
      <rPr>
        <sz val="11"/>
        <color indexed="14"/>
        <rFont val="Calibri"/>
      </rPr>
      <t>-</t>
    </r>
    <r>
      <rPr>
        <b val="1"/>
        <sz val="11"/>
        <color indexed="17"/>
        <rFont val="Calibri"/>
      </rPr>
      <t>32</t>
    </r>
    <r>
      <rPr>
        <sz val="11"/>
        <color indexed="14"/>
        <rFont val="Calibri"/>
      </rPr>
      <t>). This shows the values calculated for the dwelling alongside the target (taken from the criteria in AD-O Tables 1.1 to 1.4). The targets differ depending on location, whether or not cross ventilation is available, and the orientation of the largest glazed façade.</t>
    </r>
  </si>
  <si>
    <r>
      <rPr>
        <sz val="11"/>
        <color indexed="14"/>
        <rFont val="Calibri"/>
      </rPr>
      <t xml:space="preserve">For the dwelling to comply using the Simplified Method, all AD-O criteria need to be met. This is shown by the colour coded tick and cross in column </t>
    </r>
    <r>
      <rPr>
        <b val="1"/>
        <sz val="11"/>
        <color indexed="17"/>
        <rFont val="Calibri"/>
      </rPr>
      <t>K</t>
    </r>
  </si>
  <si>
    <t>Box 6</t>
  </si>
  <si>
    <t>The input for the glazed pane is the area or dimensions of the glass in each pane (excluding frame, etc).</t>
  </si>
  <si>
    <r>
      <rPr>
        <sz val="11"/>
        <color indexed="14"/>
        <rFont val="Calibri"/>
      </rPr>
      <t>A suggested compliance checklist that may be filled out and submitted to Building Control is included in "</t>
    </r>
    <r>
      <rPr>
        <b val="1"/>
        <sz val="11"/>
        <color indexed="20"/>
        <rFont val="Calibri"/>
      </rPr>
      <t>Compliance Checklist</t>
    </r>
    <r>
      <rPr>
        <sz val="11"/>
        <color indexed="14"/>
        <rFont val="Calibri"/>
      </rPr>
      <t>" sheet. This is based on the template in AD-O Appendix B.</t>
    </r>
  </si>
  <si>
    <t>Box 7</t>
  </si>
  <si>
    <t>The input for the window sash/ door is the width and height of each opening section (including frame, etc).</t>
  </si>
  <si>
    <t>Box 8</t>
  </si>
  <si>
    <t xml:space="preserve">For sliding doors/windows, bifold doors/windows, and sash windows, there is a particular way in which you will need to enter the panes into the spreadsheet for the outputs to be correct. This is illustrated below with sliding doors as an example, and the same principles should be used for sliding windows, bifold doors/windows and sash windows. </t>
  </si>
  <si>
    <r>
      <rPr>
        <sz val="11"/>
        <color indexed="14"/>
        <rFont val="Calibri"/>
      </rPr>
      <t xml:space="preserve">- The glazing area of each pane should be entered into column </t>
    </r>
    <r>
      <rPr>
        <b val="1"/>
        <sz val="11"/>
        <color indexed="21"/>
        <rFont val="Calibri"/>
      </rPr>
      <t>O</t>
    </r>
    <r>
      <rPr>
        <sz val="11"/>
        <color indexed="14"/>
        <rFont val="Calibri"/>
      </rPr>
      <t xml:space="preserve"> (or dimensions of glazed area into columns </t>
    </r>
    <r>
      <rPr>
        <b val="1"/>
        <sz val="11"/>
        <color indexed="21"/>
        <rFont val="Calibri"/>
      </rPr>
      <t>M</t>
    </r>
    <r>
      <rPr>
        <sz val="11"/>
        <color indexed="14"/>
        <rFont val="Calibri"/>
      </rPr>
      <t xml:space="preserve"> and </t>
    </r>
    <r>
      <rPr>
        <b val="1"/>
        <sz val="11"/>
        <color indexed="21"/>
        <rFont val="Calibri"/>
      </rPr>
      <t>N</t>
    </r>
    <r>
      <rPr>
        <sz val="11"/>
        <color indexed="14"/>
        <rFont val="Calibri"/>
      </rPr>
      <t>).</t>
    </r>
  </si>
  <si>
    <r>
      <rPr>
        <sz val="11"/>
        <color indexed="14"/>
        <rFont val="Calibri"/>
      </rPr>
      <t xml:space="preserve">- The "open" section (shaded pink above) should be entered as the correct "opening type" in column </t>
    </r>
    <r>
      <rPr>
        <b val="1"/>
        <sz val="11"/>
        <color indexed="21"/>
        <rFont val="Calibri"/>
      </rPr>
      <t>J</t>
    </r>
    <r>
      <rPr>
        <sz val="11"/>
        <color indexed="14"/>
        <rFont val="Calibri"/>
      </rPr>
      <t xml:space="preserve"> (e.g. in this case, "Sliding door"). The width of the opening should be entered into column </t>
    </r>
    <r>
      <rPr>
        <b val="1"/>
        <sz val="11"/>
        <color indexed="21"/>
        <rFont val="Calibri"/>
      </rPr>
      <t>P</t>
    </r>
    <r>
      <rPr>
        <sz val="11"/>
        <color indexed="14"/>
        <rFont val="Calibri"/>
      </rPr>
      <t>, and the height of the opening into column</t>
    </r>
    <r>
      <rPr>
        <b val="1"/>
        <sz val="11"/>
        <color indexed="21"/>
        <rFont val="Calibri"/>
      </rPr>
      <t xml:space="preserve"> Q</t>
    </r>
    <r>
      <rPr>
        <sz val="11"/>
        <color indexed="14"/>
        <rFont val="Calibri"/>
      </rPr>
      <t>. It does not matter if it turns out that the area entered for the glazed pane is larger than the area of the opening.</t>
    </r>
  </si>
  <si>
    <r>
      <rPr>
        <sz val="11"/>
        <color indexed="14"/>
        <rFont val="Calibri"/>
      </rPr>
      <t xml:space="preserve">- The "fixed" section (shaded green above) should be entered as "fixed pane" in column </t>
    </r>
    <r>
      <rPr>
        <b val="1"/>
        <sz val="11"/>
        <color indexed="21"/>
        <rFont val="Calibri"/>
      </rPr>
      <t>J</t>
    </r>
    <r>
      <rPr>
        <sz val="11"/>
        <color indexed="14"/>
        <rFont val="Calibri"/>
      </rPr>
      <t xml:space="preserve">. The width of the "fixed" section should be entered into column </t>
    </r>
    <r>
      <rPr>
        <b val="1"/>
        <sz val="11"/>
        <color indexed="21"/>
        <rFont val="Calibri"/>
      </rPr>
      <t>P</t>
    </r>
    <r>
      <rPr>
        <sz val="11"/>
        <color indexed="14"/>
        <rFont val="Calibri"/>
      </rPr>
      <t xml:space="preserve">, and the height into column </t>
    </r>
    <r>
      <rPr>
        <b val="1"/>
        <sz val="11"/>
        <color indexed="21"/>
        <rFont val="Calibri"/>
      </rPr>
      <t>Q</t>
    </r>
    <r>
      <rPr>
        <sz val="11"/>
        <color indexed="14"/>
        <rFont val="Calibri"/>
      </rPr>
      <t>.</t>
    </r>
  </si>
  <si>
    <t>Box 9</t>
  </si>
  <si>
    <t>AD-O Appendix K defines "easily accessible" as:</t>
  </si>
  <si>
    <t>- A window or doorway, any part of which is within 2m vertically of an accessible level surface, such as the ground or basement level, or an access boundary.</t>
  </si>
  <si>
    <t>- A window within 2m vertically of a flat or sloping roof (with a pitch of less than 30 degrees) that is within 3.5m of ground level.</t>
  </si>
  <si>
    <t>Box 10</t>
  </si>
  <si>
    <t>AD-O states that:</t>
  </si>
  <si>
    <t>Open windows or doors can be made secure by using any of the following.
a. Fixed or lockable louvred shutters.
b. Fixed or lockable window grilles or railings.</t>
  </si>
  <si>
    <t>Box 11</t>
  </si>
  <si>
    <t>Opening distance is defined below for outward opening windows:</t>
  </si>
  <si>
    <t>The same principles apply for windows where the opening is restricted:</t>
  </si>
  <si>
    <t>Box 12</t>
  </si>
  <si>
    <t>The diagram below shows the distance from inside wall to window frame [a], and the max 650mm reach. Within the spreadsheet tool it has been assumed that dimension [c] minus [b] = 20mm.</t>
  </si>
  <si>
    <t>Box 13</t>
  </si>
  <si>
    <t>Opening angle for rooflights is illustrated below.</t>
  </si>
  <si>
    <t xml:space="preserve">Centre pivot:                                                     Top pivot: </t>
  </si>
  <si>
    <t>Box 14</t>
  </si>
  <si>
    <t>Opening angle for inward opening windows is illustrated below:</t>
  </si>
  <si>
    <t>Window &amp; Door DATA INPUT</t>
  </si>
  <si>
    <t>Building Regulations Part O 2021 (England), Simplified Method - Data Input</t>
  </si>
  <si>
    <r>
      <rPr>
        <b val="1"/>
        <sz val="14"/>
        <color indexed="15"/>
        <rFont val="Calibri"/>
      </rPr>
      <t>FHH-SM-BETA-1</t>
    </r>
  </si>
  <si>
    <t>Read "USER GUIDE" first! Fill out all yellow cells on each row used. Each opening and non-opening section of all windows, doors and rooflights should be input as a separate row.</t>
  </si>
  <si>
    <r>
      <rPr>
        <b val="1"/>
        <sz val="12"/>
        <color indexed="12"/>
        <rFont val="Calibri"/>
      </rPr>
      <t xml:space="preserve">! DO NOT USE THE SIMPLIFIED METHOD </t>
    </r>
    <r>
      <rPr>
        <sz val="12"/>
        <color indexed="12"/>
        <rFont val="Calibri"/>
      </rPr>
      <t xml:space="preserve">- You have selected in the RESULTS tab that the dwelling is located where </t>
    </r>
    <r>
      <rPr>
        <b val="1"/>
        <sz val="12"/>
        <color indexed="12"/>
        <rFont val="Calibri"/>
      </rPr>
      <t xml:space="preserve">external noise may be an issue </t>
    </r>
    <r>
      <rPr>
        <sz val="12"/>
        <color indexed="12"/>
        <rFont val="Calibri"/>
      </rPr>
      <t>and/or near to</t>
    </r>
    <r>
      <rPr>
        <b val="1"/>
        <sz val="12"/>
        <color indexed="12"/>
        <rFont val="Calibri"/>
      </rPr>
      <t xml:space="preserve"> significant local pollution sources</t>
    </r>
    <r>
      <rPr>
        <sz val="12"/>
        <color indexed="12"/>
        <rFont val="Calibri"/>
      </rPr>
      <t xml:space="preserve"> - use Dynamic Thermal Modelling Method instead</t>
    </r>
  </si>
  <si>
    <r>
      <rPr>
        <b val="1"/>
        <sz val="11"/>
        <color indexed="14"/>
        <rFont val="Calibri"/>
      </rPr>
      <t xml:space="preserve">  Total GIA of home (m</t>
    </r>
    <r>
      <rPr>
        <b val="1"/>
        <vertAlign val="superscript"/>
        <sz val="11"/>
        <color indexed="14"/>
        <rFont val="Calibri"/>
      </rPr>
      <t>2</t>
    </r>
    <r>
      <rPr>
        <b val="1"/>
        <sz val="11"/>
        <color indexed="14"/>
        <rFont val="Calibri"/>
      </rPr>
      <t>)</t>
    </r>
  </si>
  <si>
    <t xml:space="preserve">  Is there cross ventilation?</t>
  </si>
  <si>
    <t>Yes</t>
  </si>
  <si>
    <t xml:space="preserve">You have selected in the RESULTS tab that  </t>
  </si>
  <si>
    <r>
      <rPr>
        <b val="1"/>
        <sz val="11"/>
        <color indexed="14"/>
        <rFont val="Calibri"/>
      </rPr>
      <t>South</t>
    </r>
  </si>
  <si>
    <t>is the orientation on the site wide plan of house type plan 'clock face 6'</t>
  </si>
  <si>
    <t>Room information</t>
  </si>
  <si>
    <t>Window/ door orientation &amp; type</t>
  </si>
  <si>
    <t xml:space="preserve"> Dimensions of glazed pane and opening sash</t>
  </si>
  <si>
    <t>Info for bedrooms with openings that are on the ground floor or 'easily accessible'</t>
  </si>
  <si>
    <t>Info to determine the window/ rooflight opening angle</t>
  </si>
  <si>
    <t>Room</t>
  </si>
  <si>
    <t>Room description</t>
  </si>
  <si>
    <r>
      <rPr>
        <sz val="11"/>
        <color indexed="14"/>
        <rFont val="Calibri"/>
      </rPr>
      <t>Room floor area (m</t>
    </r>
    <r>
      <rPr>
        <vertAlign val="superscript"/>
        <sz val="11"/>
        <color indexed="14"/>
        <rFont val="Calibri"/>
      </rPr>
      <t>2</t>
    </r>
    <r>
      <rPr>
        <sz val="11"/>
        <color indexed="14"/>
        <rFont val="Calibri"/>
      </rPr>
      <t>)</t>
    </r>
  </si>
  <si>
    <t>Window #</t>
  </si>
  <si>
    <t>Pane #</t>
  </si>
  <si>
    <t>Window Ref</t>
  </si>
  <si>
    <t>Clock face orientation of window on house type plan</t>
  </si>
  <si>
    <t>Orientation of Window on Plot</t>
  </si>
  <si>
    <t>Opening Type</t>
  </si>
  <si>
    <t>Is this pane opened for removal of excess heat?</t>
  </si>
  <si>
    <t>Glazing entry (choose by area or dimensions)</t>
  </si>
  <si>
    <t>Measured width of glazed pane (m)</t>
  </si>
  <si>
    <t>Measured height of glazed pane (m)</t>
  </si>
  <si>
    <r>
      <rPr>
        <sz val="11"/>
        <color indexed="14"/>
        <rFont val="Calibri"/>
      </rPr>
      <t>Measured glazed pane area (m</t>
    </r>
    <r>
      <rPr>
        <vertAlign val="superscript"/>
        <sz val="11"/>
        <color indexed="14"/>
        <rFont val="Calibri"/>
      </rPr>
      <t>2</t>
    </r>
    <r>
      <rPr>
        <sz val="11"/>
        <color indexed="14"/>
        <rFont val="Calibri"/>
      </rPr>
      <t>)</t>
    </r>
  </si>
  <si>
    <t>Measured width of window sash/ door (m)</t>
  </si>
  <si>
    <t>Measured height of window sash/ door (m)</t>
  </si>
  <si>
    <t>Is the window or door on the ground floor or 'easily accessible'?</t>
  </si>
  <si>
    <t>Is the window or door secure for night time opening?</t>
  </si>
  <si>
    <r>
      <rPr>
        <sz val="11"/>
        <color indexed="14"/>
        <rFont val="Calibri"/>
      </rPr>
      <t xml:space="preserve">Window sash </t>
    </r>
    <r>
      <rPr>
        <b val="1"/>
        <sz val="11"/>
        <color indexed="14"/>
        <rFont val="Calibri"/>
      </rPr>
      <t>night-time</t>
    </r>
    <r>
      <rPr>
        <sz val="11"/>
        <color indexed="14"/>
        <rFont val="Calibri"/>
      </rPr>
      <t xml:space="preserve"> opening distance </t>
    </r>
    <r>
      <rPr>
        <b val="1"/>
        <sz val="11"/>
        <color indexed="14"/>
        <rFont val="Calibri"/>
      </rPr>
      <t>with security in place</t>
    </r>
    <r>
      <rPr>
        <sz val="11"/>
        <color indexed="14"/>
        <rFont val="Calibri"/>
      </rPr>
      <t xml:space="preserve"> (mm)</t>
    </r>
  </si>
  <si>
    <r>
      <rPr>
        <sz val="11"/>
        <color indexed="14"/>
        <rFont val="Calibri"/>
      </rPr>
      <t xml:space="preserve">Window sash </t>
    </r>
    <r>
      <rPr>
        <b val="1"/>
        <sz val="11"/>
        <color indexed="14"/>
        <rFont val="Calibri"/>
      </rPr>
      <t>daytime</t>
    </r>
    <r>
      <rPr>
        <sz val="11"/>
        <color indexed="14"/>
        <rFont val="Calibri"/>
      </rPr>
      <t xml:space="preserve"> opening distance (mm) </t>
    </r>
  </si>
  <si>
    <r>
      <rPr>
        <sz val="11"/>
        <color indexed="14"/>
        <rFont val="Calibri"/>
      </rPr>
      <t xml:space="preserve">Window sash/ rooflight </t>
    </r>
    <r>
      <rPr>
        <b val="1"/>
        <sz val="11"/>
        <color indexed="14"/>
        <rFont val="Calibri"/>
      </rPr>
      <t>night-time</t>
    </r>
    <r>
      <rPr>
        <sz val="11"/>
        <color indexed="14"/>
        <rFont val="Calibri"/>
      </rPr>
      <t xml:space="preserve"> opening angle </t>
    </r>
    <r>
      <rPr>
        <b val="1"/>
        <sz val="11"/>
        <color indexed="14"/>
        <rFont val="Calibri"/>
      </rPr>
      <t>with security in place</t>
    </r>
    <r>
      <rPr>
        <sz val="11"/>
        <color indexed="14"/>
        <rFont val="Calibri"/>
      </rPr>
      <t xml:space="preserve"> (degrees)</t>
    </r>
  </si>
  <si>
    <r>
      <rPr>
        <sz val="11"/>
        <color indexed="14"/>
        <rFont val="Calibri"/>
      </rPr>
      <t xml:space="preserve">Window sash/ rooflight </t>
    </r>
    <r>
      <rPr>
        <b val="1"/>
        <sz val="11"/>
        <color indexed="14"/>
        <rFont val="Calibri"/>
      </rPr>
      <t>daytime</t>
    </r>
    <r>
      <rPr>
        <sz val="11"/>
        <color indexed="14"/>
        <rFont val="Calibri"/>
      </rPr>
      <t xml:space="preserve"> opening angle  (degrees)</t>
    </r>
  </si>
  <si>
    <t>Is the opening restricted to provide additional protection from falling?</t>
  </si>
  <si>
    <t>Restriction limit (mm)</t>
  </si>
  <si>
    <t>Distance [a] from inside wall to window frame (mm)</t>
  </si>
  <si>
    <t>Opening angle of rooflight or inward opening window sash (degrees)</t>
  </si>
  <si>
    <r>
      <rPr>
        <sz val="11"/>
        <color indexed="14"/>
        <rFont val="Calibri"/>
      </rPr>
      <t xml:space="preserve">Calculated </t>
    </r>
    <r>
      <rPr>
        <b val="1"/>
        <sz val="11"/>
        <color indexed="14"/>
        <rFont val="Calibri"/>
      </rPr>
      <t>daytime</t>
    </r>
    <r>
      <rPr>
        <sz val="11"/>
        <color indexed="14"/>
        <rFont val="Calibri"/>
      </rPr>
      <t xml:space="preserve"> opening angle of window sash, door or rooflight (degrees)</t>
    </r>
  </si>
  <si>
    <r>
      <rPr>
        <sz val="11"/>
        <color indexed="14"/>
        <rFont val="Calibri"/>
      </rPr>
      <t xml:space="preserve">Calculated </t>
    </r>
    <r>
      <rPr>
        <b val="1"/>
        <sz val="11"/>
        <color indexed="14"/>
        <rFont val="Calibri"/>
      </rPr>
      <t>night-time</t>
    </r>
    <r>
      <rPr>
        <sz val="11"/>
        <color indexed="14"/>
        <rFont val="Calibri"/>
      </rPr>
      <t xml:space="preserve"> opening angle of bedroom window sash, door or rooflight (degrees)</t>
    </r>
  </si>
  <si>
    <t>Bedroom 1</t>
  </si>
  <si>
    <t>Dual Aspect</t>
  </si>
  <si>
    <t>W1</t>
  </si>
  <si>
    <t>West</t>
  </si>
  <si>
    <t>Inward - side hung</t>
  </si>
  <si>
    <t>Dimensions</t>
  </si>
  <si>
    <t>Hall</t>
  </si>
  <si>
    <t>D1</t>
  </si>
  <si>
    <t>Fixed pane</t>
  </si>
  <si>
    <t>Other 1</t>
  </si>
  <si>
    <t>Plant</t>
  </si>
  <si>
    <t>W2</t>
  </si>
  <si>
    <t>En-suite 1</t>
  </si>
  <si>
    <t>W3</t>
  </si>
  <si>
    <t>South</t>
  </si>
  <si>
    <t>Bedroom 3</t>
  </si>
  <si>
    <t>Master Bedroom</t>
  </si>
  <si>
    <t>W4</t>
  </si>
  <si>
    <t>Living</t>
  </si>
  <si>
    <t>Open Plan South Sliding door opening</t>
  </si>
  <si>
    <t>D2</t>
  </si>
  <si>
    <t>Sliding or bifold window</t>
  </si>
  <si>
    <t>Dining</t>
  </si>
  <si>
    <t>Open Plan East Sliding door fixed</t>
  </si>
  <si>
    <t>No</t>
  </si>
  <si>
    <t>Open Plan East</t>
  </si>
  <si>
    <t>W5</t>
  </si>
  <si>
    <t>W6</t>
  </si>
  <si>
    <t>East</t>
  </si>
  <si>
    <t>W7</t>
  </si>
  <si>
    <t>W8</t>
  </si>
  <si>
    <t>W9</t>
  </si>
  <si>
    <t>North</t>
  </si>
  <si>
    <t>Kitchen</t>
  </si>
  <si>
    <t>Open Plan North</t>
  </si>
  <si>
    <t>W10</t>
  </si>
  <si>
    <t>Bedroom 2</t>
  </si>
  <si>
    <t>W12</t>
  </si>
  <si>
    <t>W14</t>
  </si>
  <si>
    <t>R1</t>
  </si>
  <si>
    <t>Rooflight - centre pivot</t>
  </si>
  <si>
    <t>R2</t>
  </si>
  <si>
    <t>R3</t>
  </si>
  <si>
    <t>R4</t>
  </si>
  <si>
    <t>Utility</t>
  </si>
  <si>
    <t>R5</t>
  </si>
  <si>
    <t>WC</t>
  </si>
  <si>
    <t>Shower</t>
  </si>
  <si>
    <t>R6</t>
  </si>
  <si>
    <t>RESULTS</t>
  </si>
  <si>
    <t>Building Regulations Part O 2021 (England), Simplified Method - Results</t>
  </si>
  <si>
    <t>Is dwelling in a location where external noise may be an issue?</t>
  </si>
  <si>
    <t>Is dwelling located near to significant local pollution sources?</t>
  </si>
  <si>
    <t>Direction of house type plan 'clock face 6' on site wide plan</t>
  </si>
  <si>
    <t>Future Homes Hub spreadsheet tool version:</t>
  </si>
  <si>
    <t>A</t>
  </si>
  <si>
    <t>Site data</t>
  </si>
  <si>
    <t>Company</t>
  </si>
  <si>
    <t>Site</t>
  </si>
  <si>
    <t>The Old Cow Shed</t>
  </si>
  <si>
    <t>House type</t>
  </si>
  <si>
    <t>New Build Residential Detachd</t>
  </si>
  <si>
    <t>Plot number</t>
  </si>
  <si>
    <t>[Add image of
dwelling here]</t>
  </si>
  <si>
    <t>B</t>
  </si>
  <si>
    <t>Home data</t>
  </si>
  <si>
    <t>Location risk category</t>
  </si>
  <si>
    <t>Moderate Risk</t>
  </si>
  <si>
    <t>Shading provided?</t>
  </si>
  <si>
    <t>None</t>
  </si>
  <si>
    <t>Cross ventilation?</t>
  </si>
  <si>
    <r>
      <rPr>
        <b val="1"/>
        <sz val="11"/>
        <color indexed="8"/>
        <rFont val="Calibri"/>
      </rPr>
      <t>Yes</t>
    </r>
  </si>
  <si>
    <r>
      <rPr>
        <sz val="11"/>
        <color indexed="8"/>
        <rFont val="Calibri"/>
      </rPr>
      <t>Total GIA of home (m</t>
    </r>
    <r>
      <rPr>
        <vertAlign val="superscript"/>
        <sz val="11"/>
        <color indexed="8"/>
        <rFont val="Calibri"/>
      </rPr>
      <t>2</t>
    </r>
    <r>
      <rPr>
        <sz val="11"/>
        <color indexed="8"/>
        <rFont val="Calibri"/>
      </rPr>
      <t>)</t>
    </r>
  </si>
  <si>
    <t>Largest glazed façade orientation</t>
  </si>
  <si>
    <r>
      <rPr>
        <b val="1"/>
        <sz val="11"/>
        <color indexed="8"/>
        <rFont val="Calibri"/>
      </rPr>
      <t>North</t>
    </r>
  </si>
  <si>
    <t>C</t>
  </si>
  <si>
    <t>Results</t>
  </si>
  <si>
    <t>Value</t>
  </si>
  <si>
    <t>Percentage</t>
  </si>
  <si>
    <t>Target</t>
  </si>
  <si>
    <t>Result</t>
  </si>
  <si>
    <t>✓✗</t>
  </si>
  <si>
    <t>Limiting solar gains:</t>
  </si>
  <si>
    <t>Total glazing area for home</t>
  </si>
  <si>
    <t>m²</t>
  </si>
  <si>
    <t>%</t>
  </si>
  <si>
    <t>&lt; target</t>
  </si>
  <si>
    <t>P</t>
  </si>
  <si>
    <t xml:space="preserve">Glazing area for most glazed room: </t>
  </si>
  <si>
    <t>Shading</t>
  </si>
  <si>
    <r>
      <rPr>
        <sz val="11"/>
        <color indexed="8"/>
        <rFont val="Calibri"/>
      </rPr>
      <t>None</t>
    </r>
  </si>
  <si>
    <t>Not required</t>
  </si>
  <si>
    <t>Removal of excess heat:</t>
  </si>
  <si>
    <t>Total equivalent area ( % of floor area)</t>
  </si>
  <si>
    <t>&gt; target</t>
  </si>
  <si>
    <t>Total equivalent area ( % of glazed area)</t>
  </si>
  <si>
    <t>Bedroom 1 equivalent area</t>
  </si>
  <si>
    <t>Bedroom 2 equivalent area</t>
  </si>
  <si>
    <t>Bedroom 3 equivalent area</t>
  </si>
  <si>
    <t>Bedroom 4 equivalent area</t>
  </si>
  <si>
    <t>Bedroom 5 equivalent area</t>
  </si>
  <si>
    <t>This spreadsheet has been provided for free and whilst every effort has been made to ensure it's accuracy the Future Homes Hub can assume no liability for errors or omissions. It is used entirely at the user's own risk.
Refer to the cover page for full legal notices.</t>
  </si>
  <si>
    <t>Should you have any comments, observations or suggestions please send them to</t>
  </si>
  <si>
    <r>
      <rPr>
        <u val="single"/>
        <sz val="11"/>
        <color indexed="39"/>
        <rFont val="Calibri"/>
      </rPr>
      <t>admin@futurehomes.org.uk</t>
    </r>
  </si>
  <si>
    <t>Compliance Checklist</t>
  </si>
  <si>
    <t>Compliance Checklist - Building Regulations Part O (England), Simplified Method</t>
  </si>
  <si>
    <t>Part 1 - Building details and declarations</t>
  </si>
  <si>
    <t>Building and site details</t>
  </si>
  <si>
    <t>Residential building name/number</t>
  </si>
  <si>
    <t>Street</t>
  </si>
  <si>
    <t>Town</t>
  </si>
  <si>
    <t>Country</t>
  </si>
  <si>
    <t>Postcode</t>
  </si>
  <si>
    <t>Proposed building use/type of building</t>
  </si>
  <si>
    <t>Are there any security, noise or pollution issues?</t>
  </si>
  <si>
    <t>Designer's details</t>
  </si>
  <si>
    <t>Designer's name</t>
  </si>
  <si>
    <t>Address line 1</t>
  </si>
  <si>
    <t>Address line 2</t>
  </si>
  <si>
    <t>Telephone number</t>
  </si>
  <si>
    <t>Email address</t>
  </si>
  <si>
    <t>Part 2 - Design details, simplified method</t>
  </si>
  <si>
    <t>2a.1</t>
  </si>
  <si>
    <t>Site details</t>
  </si>
  <si>
    <t>Site location, assigned using paragraph 1.3</t>
  </si>
  <si>
    <r>
      <rPr>
        <sz val="11"/>
        <color indexed="8"/>
        <rFont val="Calibri"/>
      </rPr>
      <t>Moderate Risk</t>
    </r>
  </si>
  <si>
    <t>Building category, assigned using paragraph 1.4</t>
  </si>
  <si>
    <t>Cross Ventilation</t>
  </si>
  <si>
    <t>2a.2</t>
  </si>
  <si>
    <t>Designed overheating mitigation strategy</t>
  </si>
  <si>
    <t>Details of standards selected:</t>
  </si>
  <si>
    <t>This dwelling</t>
  </si>
  <si>
    <r>
      <rPr>
        <sz val="11"/>
        <color indexed="8"/>
        <rFont val="Calibri"/>
      </rPr>
      <t>m</t>
    </r>
    <r>
      <rPr>
        <vertAlign val="superscript"/>
        <sz val="11"/>
        <color indexed="8"/>
        <rFont val="Calibri"/>
      </rPr>
      <t>2</t>
    </r>
  </si>
  <si>
    <t>a. Maximum area of glazing</t>
  </si>
  <si>
    <t>b. Maximum area of glazing in the most glazed room</t>
  </si>
  <si>
    <t>c. Shading strategy</t>
  </si>
  <si>
    <t>d1. Total minimum free area - as % of total floor area</t>
  </si>
  <si>
    <t>d2. Total minimum free area - as % of glazed area</t>
  </si>
  <si>
    <t>e1. Bedroom 1 minimum free area</t>
  </si>
  <si>
    <t>e2. Bedroom 2 minimum free area</t>
  </si>
  <si>
    <t>e3. Bedroom 3 minimum free area</t>
  </si>
  <si>
    <t>e4. Bedroom 4 minimum free area</t>
  </si>
  <si>
    <t>e5. Bedroom 5 minimum free area</t>
  </si>
  <si>
    <t>2a.3</t>
  </si>
  <si>
    <t>Designer's declaration</t>
  </si>
  <si>
    <t>Designer's organisation</t>
  </si>
  <si>
    <t>Designer's signature</t>
  </si>
  <si>
    <t>Registration number (if applicable)</t>
  </si>
  <si>
    <t>Date of design</t>
  </si>
  <si>
    <t>Part 3 - Completion details</t>
  </si>
  <si>
    <t>Builder's declaration</t>
  </si>
  <si>
    <t>Has the residential building been constructed and completed according to the specifications set out in Parts 1 and 2 of this checklist?</t>
  </si>
  <si>
    <t>Builder's name</t>
  </si>
  <si>
    <t>Builder's organisation</t>
  </si>
  <si>
    <t>Builder's signature</t>
  </si>
  <si>
    <t>Date of signature</t>
  </si>
  <si>
    <t>Building control body inspector's declaration</t>
  </si>
  <si>
    <t>Is the residential building's construction consistent with the details provided in Parts 1 and 2 of this checklist?</t>
  </si>
  <si>
    <t>Inspector's name</t>
  </si>
  <si>
    <t>Inspector's organisation</t>
  </si>
  <si>
    <t>Inspector's signature</t>
  </si>
  <si>
    <t>Date of inspection</t>
  </si>
  <si>
    <t>Note: All references to paragraphs are to Approved Document Part O</t>
  </si>
  <si>
    <t>Part O Criteria</t>
  </si>
  <si>
    <t>Building Regulations Part O 2021 (England) Criteria</t>
  </si>
  <si>
    <t>Limiting Solar Gains</t>
  </si>
  <si>
    <t>Minimum Free Areas</t>
  </si>
  <si>
    <t>Table 1.1</t>
  </si>
  <si>
    <r>
      <rPr>
        <sz val="11"/>
        <color indexed="8"/>
        <rFont val="Calibri"/>
      </rPr>
      <t>Limiting solar gains for buildings or parts of buildings</t>
    </r>
    <r>
      <rPr>
        <b val="1"/>
        <sz val="11"/>
        <color indexed="8"/>
        <rFont val="Calibri"/>
      </rPr>
      <t xml:space="preserve"> with cross-ventilation</t>
    </r>
  </si>
  <si>
    <t>Table 1.3</t>
  </si>
  <si>
    <r>
      <rPr>
        <sz val="11"/>
        <color indexed="8"/>
        <rFont val="Calibri"/>
      </rPr>
      <t xml:space="preserve">Minimum free areas for buildings or parts of buildings </t>
    </r>
    <r>
      <rPr>
        <b val="1"/>
        <sz val="11"/>
        <color indexed="8"/>
        <rFont val="Calibri"/>
      </rPr>
      <t>with cross-ventilation</t>
    </r>
  </si>
  <si>
    <t>High Risk Location</t>
  </si>
  <si>
    <t>Moderate Risk Location</t>
  </si>
  <si>
    <r>
      <rPr>
        <sz val="11"/>
        <color indexed="8"/>
        <rFont val="Calibri"/>
      </rPr>
      <t xml:space="preserve">Maximum area of glazing
</t>
    </r>
    <r>
      <rPr>
        <sz val="10"/>
        <color indexed="8"/>
        <rFont val="Calibri"/>
      </rPr>
      <t>(% floor area)</t>
    </r>
  </si>
  <si>
    <r>
      <rPr>
        <sz val="11"/>
        <color indexed="8"/>
        <rFont val="Calibri"/>
      </rPr>
      <t xml:space="preserve">Maximum area of glazing in the most glazed room
</t>
    </r>
    <r>
      <rPr>
        <sz val="10"/>
        <color indexed="8"/>
        <rFont val="Calibri"/>
      </rPr>
      <t>(% floor area of room)</t>
    </r>
  </si>
  <si>
    <t>Total minimum free area</t>
  </si>
  <si>
    <t>The greater of the following:</t>
  </si>
  <si>
    <t>of the floor area</t>
  </si>
  <si>
    <t>of the glazing area</t>
  </si>
  <si>
    <t>Bedroom minimum free area</t>
  </si>
  <si>
    <t>of the floor area of the room</t>
  </si>
  <si>
    <t>Table 1.2</t>
  </si>
  <si>
    <r>
      <rPr>
        <sz val="11"/>
        <color indexed="8"/>
        <rFont val="Calibri"/>
      </rPr>
      <t xml:space="preserve">Limiting solar gains for buildings or parts of buildings </t>
    </r>
    <r>
      <rPr>
        <b val="1"/>
        <sz val="11"/>
        <color indexed="8"/>
        <rFont val="Calibri"/>
      </rPr>
      <t>without cross-ventilation</t>
    </r>
  </si>
  <si>
    <t>Table 1.4</t>
  </si>
  <si>
    <r>
      <rPr>
        <sz val="11"/>
        <color indexed="8"/>
        <rFont val="Calibri"/>
      </rPr>
      <t xml:space="preserve">Minimum free areas for buildings or parts of buildings </t>
    </r>
    <r>
      <rPr>
        <b val="1"/>
        <sz val="11"/>
        <color indexed="8"/>
        <rFont val="Calibri"/>
      </rPr>
      <t>without cross-ventilation</t>
    </r>
  </si>
  <si>
    <t>Residential buildings in the High Risk location should, in addition to following the maximum glazing areas in Table 1.1 and Table 1.2, provide shading for glazed areas between compass points north-east and north-west via the south. Shading should be provided by one of the following means.</t>
  </si>
  <si>
    <t>a.  External shutters with means of ventilation.</t>
  </si>
  <si>
    <t>b.  Glazing with a maximum g-value of 0.4 and a minimum light transmittance of 0.7.</t>
  </si>
  <si>
    <t>c.  Overhangs with 50 degrees altitude cut-off on due south-facing façades only.</t>
  </si>
  <si>
    <t>Calculations</t>
  </si>
  <si>
    <t>Building Regulations Part O, Simplified Method - Calculations</t>
  </si>
  <si>
    <t>DAYTIME CALCS (all rooms)</t>
  </si>
  <si>
    <t>NIGHT-TIME CALCS (bedrooms only)</t>
  </si>
  <si>
    <t xml:space="preserve">By room </t>
  </si>
  <si>
    <t>Daytime (whole house)</t>
  </si>
  <si>
    <t>Night-time (bedrooms)</t>
  </si>
  <si>
    <t>By orientation</t>
  </si>
  <si>
    <t>Values needed for compliance check</t>
  </si>
  <si>
    <t>Row used?</t>
  </si>
  <si>
    <t>Bed-room?</t>
  </si>
  <si>
    <r>
      <rPr>
        <sz val="11"/>
        <color indexed="17"/>
        <rFont val="Calibri"/>
      </rPr>
      <t>Room floor area (m</t>
    </r>
    <r>
      <rPr>
        <vertAlign val="superscript"/>
        <sz val="11"/>
        <color indexed="17"/>
        <rFont val="Calibri"/>
      </rPr>
      <t>2</t>
    </r>
    <r>
      <rPr>
        <sz val="11"/>
        <color indexed="17"/>
        <rFont val="Calibri"/>
      </rPr>
      <t>)</t>
    </r>
  </si>
  <si>
    <t>Window on drawing to give window on plot</t>
  </si>
  <si>
    <t>Does this pane open?</t>
  </si>
  <si>
    <r>
      <rPr>
        <sz val="11"/>
        <color indexed="17"/>
        <rFont val="Calibri"/>
      </rPr>
      <t>Glazed pane area (m</t>
    </r>
    <r>
      <rPr>
        <vertAlign val="superscript"/>
        <sz val="11"/>
        <color indexed="17"/>
        <rFont val="Calibri"/>
      </rPr>
      <t>2</t>
    </r>
    <r>
      <rPr>
        <sz val="11"/>
        <color indexed="17"/>
        <rFont val="Calibri"/>
      </rPr>
      <t>)</t>
    </r>
  </si>
  <si>
    <t>Flip width &amp; height for equivalent area calcs?</t>
  </si>
  <si>
    <r>
      <rPr>
        <sz val="11"/>
        <color indexed="17"/>
        <rFont val="Calibri"/>
      </rPr>
      <t xml:space="preserve">Length of Sash/ door </t>
    </r>
    <r>
      <rPr>
        <b val="1"/>
        <sz val="11"/>
        <color indexed="17"/>
        <rFont val="Calibri"/>
      </rPr>
      <t>in line</t>
    </r>
    <r>
      <rPr>
        <sz val="11"/>
        <color indexed="17"/>
        <rFont val="Calibri"/>
      </rPr>
      <t xml:space="preserve"> with hinge (m)</t>
    </r>
  </si>
  <si>
    <r>
      <rPr>
        <sz val="11"/>
        <color indexed="17"/>
        <rFont val="Calibri"/>
      </rPr>
      <t xml:space="preserve">Length of Sash/ door </t>
    </r>
    <r>
      <rPr>
        <b val="1"/>
        <sz val="11"/>
        <color indexed="17"/>
        <rFont val="Calibri"/>
      </rPr>
      <t>adjacent</t>
    </r>
    <r>
      <rPr>
        <sz val="11"/>
        <color indexed="17"/>
        <rFont val="Calibri"/>
      </rPr>
      <t xml:space="preserve"> to hinge (m)</t>
    </r>
  </si>
  <si>
    <t>opening window area (m2)</t>
  </si>
  <si>
    <t>Code for opening calcs</t>
  </si>
  <si>
    <t>Code for door in opening calcs</t>
  </si>
  <si>
    <t>Opening angle part 1</t>
  </si>
  <si>
    <t>Opening angle part 2a</t>
  </si>
  <si>
    <t>If restrictor, opening distance (m)</t>
  </si>
  <si>
    <t>650 reach opening distance (m)</t>
  </si>
  <si>
    <t>650 opening distance check against window size (m)</t>
  </si>
  <si>
    <t>Window opening distance for equivalent area calc (m)</t>
  </si>
  <si>
    <t>Opening angle of window sash or door (degrees)</t>
  </si>
  <si>
    <t>Length ratio (b/h)</t>
  </si>
  <si>
    <t>Gradient (M)</t>
  </si>
  <si>
    <t>Maximum Discharge Coefficient, Cdmax</t>
  </si>
  <si>
    <t>Stroke length, d</t>
  </si>
  <si>
    <t>Discharge coefficient, Cd</t>
  </si>
  <si>
    <t>Effective area, Aeff</t>
  </si>
  <si>
    <t>Equivalent area, Aeq</t>
  </si>
  <si>
    <t>Opening angle part 2b</t>
  </si>
  <si>
    <t>Totals</t>
  </si>
  <si>
    <r>
      <rPr>
        <sz val="11"/>
        <color indexed="17"/>
        <rFont val="Calibri"/>
      </rPr>
      <t>Floor Area of Room (m</t>
    </r>
    <r>
      <rPr>
        <vertAlign val="superscript"/>
        <sz val="11"/>
        <color indexed="48"/>
        <rFont val="Calibri"/>
      </rPr>
      <t>2</t>
    </r>
    <r>
      <rPr>
        <sz val="11"/>
        <color indexed="48"/>
        <rFont val="Calibri"/>
      </rPr>
      <t>)</t>
    </r>
  </si>
  <si>
    <t>Total Glazing Area</t>
  </si>
  <si>
    <t>Glazing as a percentage of Floor Area</t>
  </si>
  <si>
    <r>
      <rPr>
        <sz val="11"/>
        <color indexed="17"/>
        <rFont val="Calibri"/>
      </rPr>
      <t xml:space="preserve">Total </t>
    </r>
    <r>
      <rPr>
        <b val="1"/>
        <sz val="11"/>
        <color indexed="17"/>
        <rFont val="Calibri"/>
      </rPr>
      <t>daytime</t>
    </r>
    <r>
      <rPr>
        <sz val="11"/>
        <color indexed="17"/>
        <rFont val="Calibri"/>
      </rPr>
      <t xml:space="preserve"> Equivalent Area</t>
    </r>
  </si>
  <si>
    <t>% glazing for room with max glazed area</t>
  </si>
  <si>
    <r>
      <rPr>
        <sz val="11"/>
        <color indexed="17"/>
        <rFont val="Calibri"/>
      </rPr>
      <t xml:space="preserve">Total </t>
    </r>
    <r>
      <rPr>
        <b val="1"/>
        <sz val="11"/>
        <color indexed="17"/>
        <rFont val="Calibri"/>
      </rPr>
      <t>night-time</t>
    </r>
    <r>
      <rPr>
        <sz val="11"/>
        <color indexed="17"/>
        <rFont val="Calibri"/>
      </rPr>
      <t xml:space="preserve"> Equivalent Area (bedrooms only)</t>
    </r>
  </si>
  <si>
    <t>Equivalent Area as a percentage of Floor Area</t>
  </si>
  <si>
    <t>Severity check</t>
  </si>
  <si>
    <t>Façade</t>
  </si>
  <si>
    <t>Area of glazing</t>
  </si>
  <si>
    <t>Whole house</t>
  </si>
  <si>
    <r>
      <rPr>
        <sz val="11"/>
        <color indexed="8"/>
        <rFont val="Calibri"/>
      </rPr>
      <t>9</t>
    </r>
    <r>
      <rPr>
        <b val="1"/>
        <sz val="11"/>
        <color indexed="8"/>
        <rFont val="Calibri"/>
      </rPr>
      <t>South</t>
    </r>
  </si>
  <si>
    <t>Y</t>
  </si>
  <si>
    <t>F</t>
  </si>
  <si>
    <r>
      <rPr>
        <sz val="11"/>
        <color indexed="8"/>
        <rFont val="Calibri"/>
      </rPr>
      <t>input</t>
    </r>
  </si>
  <si>
    <t>N/A</t>
  </si>
  <si>
    <t>Location (Risk)</t>
  </si>
  <si>
    <r>
      <rPr>
        <b val="1"/>
        <sz val="11"/>
        <color indexed="8"/>
        <rFont val="Calibri"/>
      </rPr>
      <t>Moderate Risk</t>
    </r>
  </si>
  <si>
    <t>Cross Ventilation?</t>
  </si>
  <si>
    <t>Living/Dining</t>
  </si>
  <si>
    <t xml:space="preserve"> </t>
  </si>
  <si>
    <t>Most glazed façade</t>
  </si>
  <si>
    <r>
      <rPr>
        <sz val="11"/>
        <color indexed="8"/>
        <rFont val="Calibri"/>
      </rPr>
      <t>6</t>
    </r>
    <r>
      <rPr>
        <b val="1"/>
        <sz val="11"/>
        <color indexed="8"/>
        <rFont val="Calibri"/>
      </rPr>
      <t>South</t>
    </r>
  </si>
  <si>
    <t>Living/Kitchen/Dining</t>
  </si>
  <si>
    <r>
      <rPr>
        <b val="1"/>
        <sz val="11"/>
        <color indexed="8"/>
        <rFont val="Calibri"/>
      </rPr>
      <t>None</t>
    </r>
  </si>
  <si>
    <t>Total floor area</t>
  </si>
  <si>
    <t>N</t>
  </si>
  <si>
    <t>Kitchen/Dining</t>
  </si>
  <si>
    <t>Max glazed façade area</t>
  </si>
  <si>
    <t>equivalent area as % of glazed area</t>
  </si>
  <si>
    <t>Number of max areas</t>
  </si>
  <si>
    <t>Family</t>
  </si>
  <si>
    <t>% floor area</t>
  </si>
  <si>
    <r>
      <rPr>
        <sz val="11"/>
        <color indexed="8"/>
        <rFont val="Calibri"/>
      </rPr>
      <t>3</t>
    </r>
    <r>
      <rPr>
        <b val="1"/>
        <sz val="11"/>
        <color indexed="8"/>
        <rFont val="Calibri"/>
      </rPr>
      <t>South</t>
    </r>
  </si>
  <si>
    <t>Family/Dining</t>
  </si>
  <si>
    <t>Max glazed room area</t>
  </si>
  <si>
    <t>Total glazed area</t>
  </si>
  <si>
    <t>Total equivalent area</t>
  </si>
  <si>
    <r>
      <rPr>
        <sz val="11"/>
        <color indexed="8"/>
        <rFont val="Calibri"/>
      </rPr>
      <t>12</t>
    </r>
    <r>
      <rPr>
        <b val="1"/>
        <sz val="11"/>
        <color indexed="8"/>
        <rFont val="Calibri"/>
      </rPr>
      <t>South</t>
    </r>
  </si>
  <si>
    <t>Landing</t>
  </si>
  <si>
    <t>Most glazed room:</t>
  </si>
  <si>
    <t>Study</t>
  </si>
  <si>
    <t>Area glazing</t>
  </si>
  <si>
    <t>Bedrooms - Equivalent area</t>
  </si>
  <si>
    <t>Bedroom 4</t>
  </si>
  <si>
    <t>Bedroom 5</t>
  </si>
  <si>
    <t>Bathroom 1</t>
  </si>
  <si>
    <t>Bathroom 2</t>
  </si>
  <si>
    <t>En-suite 2</t>
  </si>
  <si>
    <t>Dressing</t>
  </si>
  <si>
    <t>Other 2</t>
  </si>
  <si>
    <t>TOTAL</t>
  </si>
  <si>
    <t>Parameters</t>
  </si>
  <si>
    <t>Location (risk)</t>
  </si>
  <si>
    <t>Rooms</t>
  </si>
  <si>
    <t>Clock face</t>
  </si>
  <si>
    <t>Window (Plot)</t>
  </si>
  <si>
    <t>Opening type</t>
  </si>
  <si>
    <t>Flip (w) and (h) for eq area calc?</t>
  </si>
  <si>
    <t>Opening angle</t>
  </si>
  <si>
    <t>Glazing entry</t>
  </si>
  <si>
    <t>Window distance [c] minus [b] (mm)</t>
  </si>
  <si>
    <t>Window opening restriction (Part O) (mm)</t>
  </si>
  <si>
    <t>Opening angle for doors and sash windows</t>
  </si>
  <si>
    <t>Equivalent area calc</t>
  </si>
  <si>
    <t>b/h&lt;0.5</t>
  </si>
  <si>
    <r>
      <rPr>
        <sz val="11"/>
        <color indexed="8"/>
        <rFont val="Calibri"/>
      </rPr>
      <t>0.5</t>
    </r>
    <r>
      <rPr>
        <sz val="11"/>
        <color indexed="8"/>
        <rFont val="Verdana"/>
      </rPr>
      <t>≤</t>
    </r>
    <r>
      <rPr>
        <sz val="11"/>
        <color indexed="8"/>
        <rFont val="Calibri"/>
      </rPr>
      <t>b/h≤1.0</t>
    </r>
  </si>
  <si>
    <r>
      <rPr>
        <sz val="11"/>
        <color indexed="8"/>
        <rFont val="Calibri"/>
      </rPr>
      <t>1.0</t>
    </r>
    <r>
      <rPr>
        <sz val="11"/>
        <color indexed="8"/>
        <rFont val="Verdana"/>
      </rPr>
      <t>≤</t>
    </r>
    <r>
      <rPr>
        <sz val="11"/>
        <color indexed="8"/>
        <rFont val="Calibri"/>
      </rPr>
      <t>b/h≤2.0</t>
    </r>
  </si>
  <si>
    <r>
      <rPr>
        <sz val="11"/>
        <color indexed="8"/>
        <rFont val="Calibri"/>
      </rPr>
      <t>b/h</t>
    </r>
    <r>
      <rPr>
        <sz val="11"/>
        <color indexed="8"/>
        <rFont val="Verdana"/>
      </rPr>
      <t>≥</t>
    </r>
    <r>
      <rPr>
        <sz val="11"/>
        <color indexed="8"/>
        <rFont val="Calibri"/>
      </rPr>
      <t>2.0</t>
    </r>
  </si>
  <si>
    <t>Orifice Discharge Coefficient, Cd0</t>
  </si>
  <si>
    <t>Location risk</t>
  </si>
  <si>
    <t>Cross vent?</t>
  </si>
  <si>
    <t>Orientation max glazed façade</t>
  </si>
  <si>
    <t>Whole house: Max glazing (% floor area)</t>
  </si>
  <si>
    <t>Most glazed room: Max glazing (% floor area)</t>
  </si>
  <si>
    <t>Total min free area (a):
% of total floor area</t>
  </si>
  <si>
    <t>Tot min free area (b):
% of total glazing area</t>
  </si>
  <si>
    <t>Bedroom min free area: 
% of floor area of room</t>
  </si>
  <si>
    <t>Severity check for glazed area target</t>
  </si>
  <si>
    <t>Rank</t>
  </si>
  <si>
    <t>12East</t>
  </si>
  <si>
    <t>Gradient, M</t>
  </si>
  <si>
    <t>High Risk</t>
  </si>
  <si>
    <t>High RiskYesNorth</t>
  </si>
  <si>
    <t>12North</t>
  </si>
  <si>
    <t>Top hung</t>
  </si>
  <si>
    <t>calc</t>
  </si>
  <si>
    <t>Area</t>
  </si>
  <si>
    <r>
      <rPr>
        <sz val="11"/>
        <color indexed="8"/>
        <rFont val="Calibri"/>
      </rPr>
      <t>Coefficient, C</t>
    </r>
    <r>
      <rPr>
        <vertAlign val="subscript"/>
        <sz val="11"/>
        <color indexed="8"/>
        <rFont val="Calibri"/>
      </rPr>
      <t>dmax</t>
    </r>
  </si>
  <si>
    <t>High RiskYesEast</t>
  </si>
  <si>
    <t>12South</t>
  </si>
  <si>
    <t>Side hung</t>
  </si>
  <si>
    <t>High RiskYesSouth</t>
  </si>
  <si>
    <t>12West</t>
  </si>
  <si>
    <t>Sash</t>
  </si>
  <si>
    <t>High RiskYesWest</t>
  </si>
  <si>
    <t>3East</t>
  </si>
  <si>
    <t>input</t>
  </si>
  <si>
    <t>Moderate RiskYesNorth</t>
  </si>
  <si>
    <t>3North</t>
  </si>
  <si>
    <t>Inward - top/bottom hung</t>
  </si>
  <si>
    <t>Moderate RiskYesEast</t>
  </si>
  <si>
    <t>3South</t>
  </si>
  <si>
    <t>Moderate RiskYesSouth</t>
  </si>
  <si>
    <t>3West</t>
  </si>
  <si>
    <t>Front door</t>
  </si>
  <si>
    <t>Moderate RiskYesWest</t>
  </si>
  <si>
    <t>6East</t>
  </si>
  <si>
    <t>Other door (hinged)</t>
  </si>
  <si>
    <t>High RiskNoNorth</t>
  </si>
  <si>
    <t>6North</t>
  </si>
  <si>
    <t>Other door (sliding)</t>
  </si>
  <si>
    <t>High RiskNoEast</t>
  </si>
  <si>
    <t>6South</t>
  </si>
  <si>
    <t>Other door (bifold)</t>
  </si>
  <si>
    <t>High RiskNoSouth</t>
  </si>
  <si>
    <t>6West</t>
  </si>
  <si>
    <t>High RiskNoWest</t>
  </si>
  <si>
    <t>9East</t>
  </si>
  <si>
    <t>Rooflight - top pivot</t>
  </si>
  <si>
    <t>Moderate RiskNoNorth</t>
  </si>
  <si>
    <t>9North</t>
  </si>
  <si>
    <t>Moderate RiskNoEast</t>
  </si>
  <si>
    <t>9South</t>
  </si>
  <si>
    <t>Moderate RiskNoSouth</t>
  </si>
  <si>
    <t>9West</t>
  </si>
  <si>
    <t>Moderate RiskNoWest</t>
  </si>
  <si>
    <t xml:space="preserve">Open Plan </t>
  </si>
  <si>
    <t>Open Plan Assessment for Box 3 of the User Guide</t>
  </si>
  <si>
    <t>Window ID</t>
  </si>
  <si>
    <t>D2 Opening</t>
  </si>
  <si>
    <t>D2 Fixed</t>
  </si>
  <si>
    <t>Glazing m2</t>
  </si>
  <si>
    <t>Depth of room restriction due to open plan</t>
  </si>
  <si>
    <t>Width of open plan element</t>
  </si>
  <si>
    <t>Floor m2</t>
  </si>
  <si>
    <t>% Result</t>
  </si>
  <si>
    <t>Open Plan South</t>
  </si>
</sst>
</file>

<file path=xl/styles.xml><?xml version="1.0" encoding="utf-8"?>
<styleSheet xmlns="http://schemas.openxmlformats.org/spreadsheetml/2006/main">
  <numFmts count="3">
    <numFmt numFmtId="0" formatCode="General"/>
    <numFmt numFmtId="59" formatCode="0.0"/>
    <numFmt numFmtId="60" formatCode="0.000"/>
  </numFmts>
  <fonts count="56">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sz val="11"/>
      <color indexed="14"/>
      <name val="Calibri"/>
    </font>
    <font>
      <b val="1"/>
      <sz val="11"/>
      <color indexed="14"/>
      <name val="Calibri"/>
    </font>
    <font>
      <b val="1"/>
      <sz val="11"/>
      <color indexed="15"/>
      <name val="Calibri"/>
    </font>
    <font>
      <sz val="11"/>
      <color indexed="15"/>
      <name val="Calibri"/>
    </font>
    <font>
      <u val="single"/>
      <sz val="10"/>
      <color indexed="14"/>
      <name val="Calibri"/>
    </font>
    <font>
      <sz val="10"/>
      <color indexed="14"/>
      <name val="Calibri"/>
    </font>
    <font>
      <b val="1"/>
      <sz val="16"/>
      <color indexed="16"/>
      <name val="Calibri"/>
    </font>
    <font>
      <b val="1"/>
      <sz val="11"/>
      <color indexed="17"/>
      <name val="Calibri"/>
    </font>
    <font>
      <b val="1"/>
      <sz val="22"/>
      <color indexed="16"/>
      <name val="Calibri"/>
    </font>
    <font>
      <sz val="11"/>
      <color indexed="16"/>
      <name val="Calibri"/>
    </font>
    <font>
      <b val="1"/>
      <u val="single"/>
      <sz val="11"/>
      <color indexed="14"/>
      <name val="Calibri"/>
    </font>
    <font>
      <u val="single"/>
      <sz val="11"/>
      <color indexed="14"/>
      <name val="Calibri"/>
    </font>
    <font>
      <vertAlign val="superscript"/>
      <sz val="11"/>
      <color indexed="14"/>
      <name val="Calibri"/>
    </font>
    <font>
      <b val="1"/>
      <sz val="11"/>
      <color indexed="20"/>
      <name val="Calibri"/>
    </font>
    <font>
      <b val="1"/>
      <sz val="11"/>
      <color indexed="21"/>
      <name val="Calibri"/>
    </font>
    <font>
      <b val="1"/>
      <sz val="14"/>
      <color indexed="14"/>
      <name val="Calibri"/>
    </font>
    <font>
      <b val="1"/>
      <sz val="11"/>
      <color indexed="8"/>
      <name val="Calibri"/>
    </font>
    <font>
      <b val="1"/>
      <sz val="14"/>
      <color indexed="15"/>
      <name val="Calibri"/>
    </font>
    <font>
      <b val="1"/>
      <sz val="14"/>
      <color indexed="17"/>
      <name val="Calibri"/>
    </font>
    <font>
      <b val="1"/>
      <sz val="12"/>
      <color indexed="12"/>
      <name val="Calibri"/>
    </font>
    <font>
      <sz val="12"/>
      <color indexed="12"/>
      <name val="Calibri"/>
    </font>
    <font>
      <b val="1"/>
      <sz val="12"/>
      <color indexed="16"/>
      <name val="Calibri"/>
    </font>
    <font>
      <b val="1"/>
      <vertAlign val="superscript"/>
      <sz val="11"/>
      <color indexed="14"/>
      <name val="Calibri"/>
    </font>
    <font>
      <sz val="11"/>
      <color indexed="8"/>
      <name val="Helvetica Neue"/>
    </font>
    <font>
      <sz val="12"/>
      <color indexed="14"/>
      <name val="Calibri"/>
    </font>
    <font>
      <sz val="11"/>
      <color indexed="12"/>
      <name val="Calibri"/>
    </font>
    <font>
      <sz val="6"/>
      <color indexed="12"/>
      <name val="Calibri"/>
    </font>
    <font>
      <sz val="11"/>
      <color indexed="27"/>
      <name val="Calibri"/>
    </font>
    <font>
      <b val="1"/>
      <sz val="11"/>
      <color indexed="16"/>
      <name val="Calibri"/>
    </font>
    <font>
      <sz val="11"/>
      <color indexed="29"/>
      <name val="Calibri"/>
    </font>
    <font>
      <vertAlign val="superscript"/>
      <sz val="11"/>
      <color indexed="8"/>
      <name val="Calibri"/>
    </font>
    <font>
      <b val="1"/>
      <sz val="11"/>
      <color indexed="12"/>
      <name val="Calibri"/>
    </font>
    <font>
      <sz val="11"/>
      <color indexed="8"/>
      <name val="Wingdings 2"/>
    </font>
    <font>
      <sz val="10"/>
      <color indexed="8"/>
      <name val="Calibri"/>
    </font>
    <font>
      <u val="single"/>
      <sz val="11"/>
      <color indexed="39"/>
      <name val="Calibri"/>
    </font>
    <font>
      <b val="1"/>
      <sz val="16"/>
      <color indexed="8"/>
      <name val="Calibri"/>
    </font>
    <font>
      <b val="1"/>
      <sz val="12"/>
      <color indexed="8"/>
      <name val="Calibri"/>
    </font>
    <font>
      <i val="1"/>
      <sz val="11"/>
      <color indexed="8"/>
      <name val="Calibri"/>
    </font>
    <font>
      <b val="1"/>
      <u val="single"/>
      <sz val="16"/>
      <color indexed="8"/>
      <name val="Calibri"/>
    </font>
    <font>
      <b val="1"/>
      <sz val="14"/>
      <color indexed="8"/>
      <name val="Calibri"/>
    </font>
    <font>
      <b val="1"/>
      <u val="single"/>
      <sz val="16"/>
      <color indexed="17"/>
      <name val="Calibri"/>
    </font>
    <font>
      <sz val="11"/>
      <color indexed="17"/>
      <name val="Calibri"/>
    </font>
    <font>
      <vertAlign val="superscript"/>
      <sz val="11"/>
      <color indexed="17"/>
      <name val="Calibri"/>
    </font>
    <font>
      <vertAlign val="superscript"/>
      <sz val="11"/>
      <color indexed="48"/>
      <name val="Calibri"/>
    </font>
    <font>
      <sz val="11"/>
      <color indexed="48"/>
      <name val="Calibri"/>
    </font>
    <font>
      <b val="1"/>
      <sz val="11"/>
      <color indexed="49"/>
      <name val="Calibri"/>
    </font>
    <font>
      <sz val="9"/>
      <color indexed="8"/>
      <name val="Calibri"/>
    </font>
    <font>
      <sz val="11"/>
      <color indexed="8"/>
      <name val="Verdana"/>
    </font>
    <font>
      <vertAlign val="subscript"/>
      <sz val="11"/>
      <color indexed="8"/>
      <name val="Calibri"/>
    </font>
    <font>
      <b val="1"/>
      <sz val="15"/>
      <color indexed="50"/>
      <name val="Calibri"/>
    </font>
  </fonts>
  <fills count="34">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8"/>
        <bgColor auto="1"/>
      </patternFill>
    </fill>
    <fill>
      <patternFill patternType="solid">
        <fgColor indexed="19"/>
        <bgColor auto="1"/>
      </patternFill>
    </fill>
    <fill>
      <patternFill patternType="solid">
        <fgColor indexed="17"/>
        <bgColor auto="1"/>
      </patternFill>
    </fill>
    <fill>
      <patternFill patternType="solid">
        <fgColor indexed="22"/>
        <bgColor auto="1"/>
      </patternFill>
    </fill>
    <fill>
      <patternFill patternType="solid">
        <fgColor indexed="23"/>
        <bgColor auto="1"/>
      </patternFill>
    </fill>
    <fill>
      <patternFill patternType="solid">
        <fgColor indexed="24"/>
        <bgColor auto="1"/>
      </patternFill>
    </fill>
    <fill>
      <patternFill patternType="solid">
        <fgColor indexed="15"/>
        <bgColor auto="1"/>
      </patternFill>
    </fill>
    <fill>
      <patternFill patternType="solid">
        <fgColor indexed="25"/>
        <bgColor auto="1"/>
      </patternFill>
    </fill>
    <fill>
      <patternFill patternType="solid">
        <fgColor indexed="26"/>
        <bgColor auto="1"/>
      </patternFill>
    </fill>
    <fill>
      <patternFill patternType="solid">
        <fgColor indexed="27"/>
        <bgColor auto="1"/>
      </patternFill>
    </fill>
    <fill>
      <patternFill patternType="solid">
        <fgColor indexed="8"/>
        <bgColor auto="1"/>
      </patternFill>
    </fill>
    <fill>
      <patternFill patternType="solid">
        <fgColor indexed="28"/>
        <bgColor auto="1"/>
      </patternFill>
    </fill>
    <fill>
      <patternFill patternType="solid">
        <fgColor indexed="30"/>
        <bgColor auto="1"/>
      </patternFill>
    </fill>
    <fill>
      <patternFill patternType="solid">
        <fgColor indexed="32"/>
        <bgColor auto="1"/>
      </patternFill>
    </fill>
    <fill>
      <patternFill patternType="solid">
        <fgColor indexed="33"/>
        <bgColor auto="1"/>
      </patternFill>
    </fill>
    <fill>
      <patternFill patternType="solid">
        <fgColor indexed="34"/>
        <bgColor auto="1"/>
      </patternFill>
    </fill>
    <fill>
      <patternFill patternType="solid">
        <fgColor indexed="35"/>
        <bgColor auto="1"/>
      </patternFill>
    </fill>
    <fill>
      <patternFill patternType="solid">
        <fgColor indexed="36"/>
        <bgColor auto="1"/>
      </patternFill>
    </fill>
    <fill>
      <patternFill patternType="solid">
        <fgColor indexed="37"/>
        <bgColor auto="1"/>
      </patternFill>
    </fill>
    <fill>
      <patternFill patternType="solid">
        <fgColor indexed="38"/>
        <bgColor auto="1"/>
      </patternFill>
    </fill>
    <fill>
      <patternFill patternType="solid">
        <fgColor indexed="40"/>
        <bgColor auto="1"/>
      </patternFill>
    </fill>
    <fill>
      <patternFill patternType="solid">
        <fgColor indexed="41"/>
        <bgColor auto="1"/>
      </patternFill>
    </fill>
    <fill>
      <patternFill patternType="solid">
        <fgColor indexed="42"/>
        <bgColor auto="1"/>
      </patternFill>
    </fill>
    <fill>
      <patternFill patternType="solid">
        <fgColor indexed="43"/>
        <bgColor auto="1"/>
      </patternFill>
    </fill>
    <fill>
      <patternFill patternType="solid">
        <fgColor indexed="44"/>
        <bgColor auto="1"/>
      </patternFill>
    </fill>
    <fill>
      <patternFill patternType="solid">
        <fgColor indexed="45"/>
        <bgColor auto="1"/>
      </patternFill>
    </fill>
    <fill>
      <patternFill patternType="solid">
        <fgColor indexed="46"/>
        <bgColor auto="1"/>
      </patternFill>
    </fill>
    <fill>
      <patternFill patternType="solid">
        <fgColor indexed="47"/>
        <bgColor auto="1"/>
      </patternFill>
    </fill>
    <fill>
      <patternFill patternType="solid">
        <fgColor indexed="51"/>
        <bgColor auto="1"/>
      </patternFill>
    </fill>
  </fills>
  <borders count="124">
    <border>
      <left/>
      <right/>
      <top/>
      <bottom/>
      <diagonal/>
    </border>
    <border>
      <left style="thin">
        <color indexed="13"/>
      </left>
      <right/>
      <top style="thin">
        <color indexed="13"/>
      </top>
      <bottom/>
      <diagonal/>
    </border>
    <border>
      <left/>
      <right/>
      <top style="thin">
        <color indexed="13"/>
      </top>
      <bottom style="medium">
        <color indexed="14"/>
      </bottom>
      <diagonal/>
    </border>
    <border>
      <left/>
      <right style="thin">
        <color indexed="13"/>
      </right>
      <top style="thin">
        <color indexed="13"/>
      </top>
      <bottom style="medium">
        <color indexed="14"/>
      </bottom>
      <diagonal/>
    </border>
    <border>
      <left style="thin">
        <color indexed="13"/>
      </left>
      <right style="medium">
        <color indexed="14"/>
      </right>
      <top/>
      <bottom/>
      <diagonal/>
    </border>
    <border>
      <left style="medium">
        <color indexed="14"/>
      </left>
      <right/>
      <top style="medium">
        <color indexed="14"/>
      </top>
      <bottom/>
      <diagonal/>
    </border>
    <border>
      <left/>
      <right/>
      <top style="medium">
        <color indexed="14"/>
      </top>
      <bottom/>
      <diagonal/>
    </border>
    <border>
      <left/>
      <right style="medium">
        <color indexed="14"/>
      </right>
      <top style="medium">
        <color indexed="14"/>
      </top>
      <bottom/>
      <diagonal/>
    </border>
    <border>
      <left style="medium">
        <color indexed="14"/>
      </left>
      <right/>
      <top/>
      <bottom/>
      <diagonal/>
    </border>
    <border>
      <left/>
      <right/>
      <top/>
      <bottom/>
      <diagonal/>
    </border>
    <border>
      <left/>
      <right style="medium">
        <color indexed="14"/>
      </right>
      <top/>
      <bottom/>
      <diagonal/>
    </border>
    <border>
      <left style="thin">
        <color indexed="13"/>
      </left>
      <right style="medium">
        <color indexed="14"/>
      </right>
      <top/>
      <bottom style="thin">
        <color indexed="13"/>
      </bottom>
      <diagonal/>
    </border>
    <border>
      <left style="medium">
        <color indexed="14"/>
      </left>
      <right/>
      <top/>
      <bottom style="medium">
        <color indexed="14"/>
      </bottom>
      <diagonal/>
    </border>
    <border>
      <left/>
      <right/>
      <top/>
      <bottom style="medium">
        <color indexed="14"/>
      </bottom>
      <diagonal/>
    </border>
    <border>
      <left/>
      <right style="medium">
        <color indexed="14"/>
      </right>
      <top/>
      <bottom style="medium">
        <color indexed="14"/>
      </bottom>
      <diagonal/>
    </border>
    <border>
      <left/>
      <right/>
      <top style="thin">
        <color indexed="13"/>
      </top>
      <bottom/>
      <diagonal/>
    </border>
    <border>
      <left/>
      <right style="thin">
        <color indexed="13"/>
      </right>
      <top style="thin">
        <color indexed="13"/>
      </top>
      <bottom/>
      <diagonal/>
    </border>
    <border>
      <left style="thin">
        <color indexed="13"/>
      </left>
      <right/>
      <top/>
      <bottom/>
      <diagonal/>
    </border>
    <border>
      <left/>
      <right style="thin">
        <color indexed="13"/>
      </right>
      <top/>
      <bottom/>
      <diagonal/>
    </border>
    <border>
      <left style="medium">
        <color indexed="14"/>
      </left>
      <right/>
      <top style="medium">
        <color indexed="14"/>
      </top>
      <bottom style="medium">
        <color indexed="14"/>
      </bottom>
      <diagonal/>
    </border>
    <border>
      <left/>
      <right/>
      <top style="medium">
        <color indexed="14"/>
      </top>
      <bottom style="medium">
        <color indexed="14"/>
      </bottom>
      <diagonal/>
    </border>
    <border>
      <left/>
      <right style="medium">
        <color indexed="14"/>
      </right>
      <top style="medium">
        <color indexed="14"/>
      </top>
      <bottom style="medium">
        <color indexed="14"/>
      </bottom>
      <diagonal/>
    </border>
    <border>
      <left/>
      <right/>
      <top/>
      <bottom style="medium">
        <color indexed="18"/>
      </bottom>
      <diagonal/>
    </border>
    <border>
      <left style="medium">
        <color indexed="14"/>
      </left>
      <right style="medium">
        <color indexed="18"/>
      </right>
      <top/>
      <bottom/>
      <diagonal/>
    </border>
    <border>
      <left style="medium">
        <color indexed="18"/>
      </left>
      <right/>
      <top style="medium">
        <color indexed="18"/>
      </top>
      <bottom/>
      <diagonal/>
    </border>
    <border>
      <left/>
      <right/>
      <top style="medium">
        <color indexed="18"/>
      </top>
      <bottom/>
      <diagonal/>
    </border>
    <border>
      <left/>
      <right style="medium">
        <color indexed="18"/>
      </right>
      <top style="medium">
        <color indexed="18"/>
      </top>
      <bottom/>
      <diagonal/>
    </border>
    <border>
      <left style="medium">
        <color indexed="18"/>
      </left>
      <right/>
      <top/>
      <bottom/>
      <diagonal/>
    </border>
    <border>
      <left/>
      <right style="medium">
        <color indexed="18"/>
      </right>
      <top/>
      <bottom/>
      <diagonal/>
    </border>
    <border>
      <left style="medium">
        <color indexed="18"/>
      </left>
      <right/>
      <top/>
      <bottom style="medium">
        <color indexed="18"/>
      </bottom>
      <diagonal/>
    </border>
    <border>
      <left/>
      <right style="medium">
        <color indexed="18"/>
      </right>
      <top/>
      <bottom style="medium">
        <color indexed="18"/>
      </bottom>
      <diagonal/>
    </border>
    <border>
      <left/>
      <right/>
      <top style="medium">
        <color indexed="18"/>
      </top>
      <bottom style="medium">
        <color indexed="18"/>
      </bottom>
      <diagonal/>
    </border>
    <border>
      <left style="thin">
        <color indexed="13"/>
      </left>
      <right/>
      <top/>
      <bottom style="thin">
        <color indexed="13"/>
      </bottom>
      <diagonal/>
    </border>
    <border>
      <left/>
      <right/>
      <top/>
      <bottom style="thin">
        <color indexed="13"/>
      </bottom>
      <diagonal/>
    </border>
    <border>
      <left/>
      <right style="medium">
        <color indexed="18"/>
      </right>
      <top/>
      <bottom style="thin">
        <color indexed="13"/>
      </bottom>
      <diagonal/>
    </border>
    <border>
      <left style="medium">
        <color indexed="18"/>
      </left>
      <right/>
      <top/>
      <bottom style="thin">
        <color indexed="13"/>
      </bottom>
      <diagonal/>
    </border>
    <border>
      <left/>
      <right style="thin">
        <color indexed="13"/>
      </right>
      <top/>
      <bottom style="thin">
        <color indexed="13"/>
      </bottom>
      <diagonal/>
    </border>
    <border>
      <left style="medium">
        <color indexed="14"/>
      </left>
      <right/>
      <top style="medium">
        <color indexed="14"/>
      </top>
      <bottom style="thin">
        <color indexed="8"/>
      </bottom>
      <diagonal/>
    </border>
    <border>
      <left/>
      <right/>
      <top style="medium">
        <color indexed="14"/>
      </top>
      <bottom style="thin">
        <color indexed="8"/>
      </bottom>
      <diagonal/>
    </border>
    <border>
      <left/>
      <right style="medium">
        <color indexed="14"/>
      </right>
      <top style="medium">
        <color indexed="14"/>
      </top>
      <bottom style="thin">
        <color indexed="8"/>
      </bottom>
      <diagonal/>
    </border>
    <border>
      <left style="medium">
        <color indexed="14"/>
      </left>
      <right/>
      <top style="thin">
        <color indexed="8"/>
      </top>
      <bottom style="medium">
        <color indexed="14"/>
      </bottom>
      <diagonal/>
    </border>
    <border>
      <left/>
      <right/>
      <top style="thin">
        <color indexed="8"/>
      </top>
      <bottom style="medium">
        <color indexed="14"/>
      </bottom>
      <diagonal/>
    </border>
    <border>
      <left/>
      <right style="medium">
        <color indexed="14"/>
      </right>
      <top style="thin">
        <color indexed="8"/>
      </top>
      <bottom style="medium">
        <color indexed="14"/>
      </bottom>
      <diagonal/>
    </border>
    <border>
      <left style="medium">
        <color indexed="14"/>
      </left>
      <right style="thin">
        <color indexed="8"/>
      </right>
      <top style="medium">
        <color indexed="14"/>
      </top>
      <bottom style="thin">
        <color indexed="8"/>
      </bottom>
      <diagonal/>
    </border>
    <border>
      <left style="thin">
        <color indexed="8"/>
      </left>
      <right style="thin">
        <color indexed="8"/>
      </right>
      <top style="medium">
        <color indexed="14"/>
      </top>
      <bottom style="thin">
        <color indexed="8"/>
      </bottom>
      <diagonal/>
    </border>
    <border>
      <left style="thin">
        <color indexed="8"/>
      </left>
      <right style="medium">
        <color indexed="14"/>
      </right>
      <top style="medium">
        <color indexed="14"/>
      </top>
      <bottom style="thin">
        <color indexed="8"/>
      </bottom>
      <diagonal/>
    </border>
    <border>
      <left style="thin">
        <color indexed="8"/>
      </left>
      <right style="medium">
        <color indexed="8"/>
      </right>
      <top style="medium">
        <color indexed="14"/>
      </top>
      <bottom style="thin">
        <color indexed="8"/>
      </bottom>
      <diagonal/>
    </border>
    <border>
      <left style="medium">
        <color indexed="8"/>
      </left>
      <right style="thin">
        <color indexed="8"/>
      </right>
      <top style="medium">
        <color indexed="14"/>
      </top>
      <bottom style="thin">
        <color indexed="8"/>
      </bottom>
      <diagonal/>
    </border>
    <border>
      <left style="medium">
        <color indexed="1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14"/>
      </right>
      <top style="thin">
        <color indexed="8"/>
      </top>
      <bottom style="thin">
        <color indexed="8"/>
      </bottom>
      <diagonal/>
    </border>
    <border>
      <left style="medium">
        <color indexed="14"/>
      </left>
      <right style="thin">
        <color indexed="8"/>
      </right>
      <top style="thin">
        <color indexed="8"/>
      </top>
      <bottom style="medium">
        <color indexed="14"/>
      </bottom>
      <diagonal/>
    </border>
    <border>
      <left style="thin">
        <color indexed="8"/>
      </left>
      <right style="thin">
        <color indexed="8"/>
      </right>
      <top style="thin">
        <color indexed="8"/>
      </top>
      <bottom style="medium">
        <color indexed="14"/>
      </bottom>
      <diagonal/>
    </border>
    <border>
      <left style="thin">
        <color indexed="8"/>
      </left>
      <right style="medium">
        <color indexed="8"/>
      </right>
      <top style="thin">
        <color indexed="8"/>
      </top>
      <bottom style="medium">
        <color indexed="14"/>
      </bottom>
      <diagonal/>
    </border>
    <border>
      <left style="medium">
        <color indexed="8"/>
      </left>
      <right style="thin">
        <color indexed="8"/>
      </right>
      <top style="thin">
        <color indexed="8"/>
      </top>
      <bottom style="medium">
        <color indexed="14"/>
      </bottom>
      <diagonal/>
    </border>
    <border>
      <left style="thin">
        <color indexed="8"/>
      </left>
      <right style="medium">
        <color indexed="14"/>
      </right>
      <top style="thin">
        <color indexed="8"/>
      </top>
      <bottom style="medium">
        <color indexed="14"/>
      </bottom>
      <diagonal/>
    </border>
    <border>
      <left/>
      <right/>
      <top/>
      <bottom style="medium">
        <color indexed="8"/>
      </bottom>
      <diagonal/>
    </border>
    <border>
      <left style="thin">
        <color indexed="13"/>
      </left>
      <right style="medium">
        <color indexed="8"/>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top/>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top style="medium">
        <color indexed="8"/>
      </top>
      <bottom style="medium">
        <color indexed="8"/>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thin">
        <color indexed="13"/>
      </right>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right style="thin">
        <color indexed="13"/>
      </right>
      <top style="medium">
        <color indexed="8"/>
      </top>
      <bottom/>
      <diagonal/>
    </border>
    <border>
      <left style="thin">
        <color indexed="13"/>
      </left>
      <right style="thin">
        <color indexed="13"/>
      </right>
      <top style="medium">
        <color indexed="8"/>
      </top>
      <bottom/>
      <diagonal/>
    </border>
    <border>
      <left style="thin">
        <color indexed="13"/>
      </left>
      <right/>
      <top style="medium">
        <color indexed="8"/>
      </top>
      <bottom/>
      <diagonal/>
    </border>
    <border>
      <left style="medium">
        <color indexed="14"/>
      </left>
      <right style="thin">
        <color indexed="13"/>
      </right>
      <top/>
      <bottom/>
      <diagonal/>
    </border>
    <border>
      <left/>
      <right/>
      <top style="medium">
        <color indexed="14"/>
      </top>
      <bottom style="thin">
        <color indexed="13"/>
      </bottom>
      <diagonal/>
    </border>
    <border>
      <left/>
      <right/>
      <top/>
      <bottom style="thin">
        <color indexed="8"/>
      </bottom>
      <diagonal/>
    </border>
    <border>
      <left/>
      <right style="thin">
        <color indexed="13"/>
      </right>
      <top/>
      <bottom style="thin">
        <color indexed="8"/>
      </bottom>
      <diagonal/>
    </border>
    <border>
      <left style="thin">
        <color indexed="13"/>
      </left>
      <right style="thin">
        <color indexed="8"/>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right style="thin">
        <color indexed="13"/>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top/>
      <bottom/>
      <diagonal/>
    </border>
    <border>
      <left style="thin">
        <color indexed="8"/>
      </left>
      <right style="thin">
        <color indexed="13"/>
      </right>
      <top style="thin">
        <color indexed="8"/>
      </top>
      <bottom style="thin">
        <color indexed="8"/>
      </bottom>
      <diagonal/>
    </border>
    <border>
      <left style="thin">
        <color indexed="13"/>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8"/>
      </left>
      <right style="thin">
        <color indexed="8"/>
      </right>
      <top style="thin">
        <color indexed="8"/>
      </top>
      <bottom style="thin">
        <color indexed="13"/>
      </bottom>
      <diagonal/>
    </border>
    <border>
      <left style="thin">
        <color indexed="8"/>
      </left>
      <right style="thin">
        <color indexed="8"/>
      </right>
      <top style="thin">
        <color indexed="13"/>
      </top>
      <bottom style="thin">
        <color indexed="8"/>
      </bottom>
      <diagonal/>
    </border>
    <border>
      <left style="thin">
        <color indexed="8"/>
      </left>
      <right style="thin">
        <color indexed="8"/>
      </right>
      <top style="thin">
        <color indexed="13"/>
      </top>
      <bottom style="thin">
        <color indexed="13"/>
      </bottom>
      <diagonal/>
    </border>
    <border>
      <left/>
      <right style="thin">
        <color indexed="8"/>
      </right>
      <top/>
      <bottom/>
      <diagonal/>
    </border>
    <border>
      <left/>
      <right/>
      <top style="thin">
        <color indexed="8"/>
      </top>
      <bottom style="thin">
        <color indexed="13"/>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13"/>
      </top>
      <bottom/>
      <diagonal/>
    </border>
    <border>
      <left style="thin">
        <color indexed="13"/>
      </left>
      <right style="thin">
        <color indexed="13"/>
      </right>
      <top style="thin">
        <color indexed="13"/>
      </top>
      <bottom style="thin">
        <color indexed="8"/>
      </bottom>
      <diagonal/>
    </border>
    <border>
      <left style="thin">
        <color indexed="13"/>
      </left>
      <right/>
      <top style="thin">
        <color indexed="13"/>
      </top>
      <bottom style="thin">
        <color indexed="8"/>
      </bottom>
      <diagonal/>
    </border>
    <border>
      <left/>
      <right style="medium">
        <color indexed="8"/>
      </right>
      <top/>
      <bottom style="thin">
        <color indexed="8"/>
      </bottom>
      <diagonal/>
    </border>
    <border>
      <left style="medium">
        <color indexed="8"/>
      </left>
      <right/>
      <top/>
      <bottom style="thin">
        <color indexed="8"/>
      </bottom>
      <diagonal/>
    </border>
    <border>
      <left/>
      <right style="thin">
        <color indexed="13"/>
      </right>
      <top style="thin">
        <color indexed="13"/>
      </top>
      <bottom style="thin">
        <color indexed="13"/>
      </bottom>
      <diagonal/>
    </border>
    <border>
      <left style="thin">
        <color indexed="13"/>
      </left>
      <right style="thin">
        <color indexed="8"/>
      </right>
      <top style="thin">
        <color indexed="13"/>
      </top>
      <bottom style="thin">
        <color indexed="8"/>
      </bottom>
      <diagonal/>
    </border>
    <border>
      <left style="thin">
        <color indexed="8"/>
      </left>
      <right style="thin">
        <color indexed="13"/>
      </right>
      <top style="thin">
        <color indexed="13"/>
      </top>
      <bottom style="thin">
        <color indexed="13"/>
      </bottom>
      <diagonal/>
    </border>
    <border>
      <left style="thin">
        <color indexed="13"/>
      </left>
      <right style="thin">
        <color indexed="8"/>
      </right>
      <top style="thin">
        <color indexed="13"/>
      </top>
      <bottom style="thin">
        <color indexed="13"/>
      </bottom>
      <diagonal/>
    </border>
    <border>
      <left style="medium">
        <color indexed="8"/>
      </left>
      <right style="thin">
        <color indexed="8"/>
      </right>
      <top style="thin">
        <color indexed="13"/>
      </top>
      <bottom style="thin">
        <color indexed="13"/>
      </bottom>
      <diagonal/>
    </border>
    <border>
      <left style="thin">
        <color indexed="13"/>
      </left>
      <right style="thin">
        <color indexed="13"/>
      </right>
      <top style="thin">
        <color indexed="8"/>
      </top>
      <bottom style="thin">
        <color indexed="13"/>
      </bottom>
      <diagonal/>
    </border>
    <border>
      <left style="medium">
        <color indexed="8"/>
      </left>
      <right style="thin">
        <color indexed="13"/>
      </right>
      <top style="thin">
        <color indexed="13"/>
      </top>
      <bottom style="thin">
        <color indexed="13"/>
      </bottom>
      <diagonal/>
    </border>
    <border>
      <left style="medium">
        <color indexed="8"/>
      </left>
      <right style="medium">
        <color indexed="48"/>
      </right>
      <top style="thin">
        <color indexed="13"/>
      </top>
      <bottom style="thin">
        <color indexed="13"/>
      </bottom>
      <diagonal/>
    </border>
    <border>
      <left style="medium">
        <color indexed="48"/>
      </left>
      <right style="thin">
        <color indexed="8"/>
      </right>
      <top style="thin">
        <color indexed="8"/>
      </top>
      <bottom style="thin">
        <color indexed="8"/>
      </bottom>
      <diagonal/>
    </border>
    <border>
      <left style="thin">
        <color indexed="13"/>
      </left>
      <right style="thin">
        <color indexed="13"/>
      </right>
      <top style="thin">
        <color indexed="13"/>
      </top>
      <bottom style="thick">
        <color indexed="47"/>
      </bottom>
      <diagonal/>
    </border>
    <border>
      <left/>
      <right/>
      <top style="thick">
        <color indexed="47"/>
      </top>
      <bottom/>
      <diagonal/>
    </border>
    <border>
      <left style="thin">
        <color indexed="13"/>
      </left>
      <right style="thin">
        <color indexed="13"/>
      </right>
      <top/>
      <bottom style="thin">
        <color indexed="13"/>
      </bottom>
      <diagonal/>
    </border>
  </borders>
  <cellStyleXfs count="1">
    <xf numFmtId="0" fontId="0" applyNumberFormat="0" applyFont="1" applyFill="0" applyBorder="0" applyAlignment="1" applyProtection="0">
      <alignment vertical="bottom"/>
    </xf>
  </cellStyleXfs>
  <cellXfs count="543">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0" fontId="0" fillId="4" borderId="1" applyNumberFormat="0" applyFont="1" applyFill="1" applyBorder="1" applyAlignment="1" applyProtection="0">
      <alignment vertical="bottom"/>
    </xf>
    <xf numFmtId="0" fontId="0" fillId="4" borderId="2" applyNumberFormat="0" applyFont="1" applyFill="1" applyBorder="1" applyAlignment="1" applyProtection="0">
      <alignment vertical="bottom"/>
    </xf>
    <xf numFmtId="0" fontId="0" fillId="4" borderId="3" applyNumberFormat="0" applyFont="1" applyFill="1" applyBorder="1" applyAlignment="1" applyProtection="0">
      <alignment vertical="bottom"/>
    </xf>
    <xf numFmtId="0" fontId="0" fillId="4" borderId="4" applyNumberFormat="0" applyFont="1" applyFill="1" applyBorder="1" applyAlignment="1" applyProtection="0">
      <alignment vertical="bottom"/>
    </xf>
    <xf numFmtId="0" fontId="0" fillId="4" borderId="5" applyNumberFormat="0" applyFont="1" applyFill="1" applyBorder="1" applyAlignment="1" applyProtection="0">
      <alignment vertical="bottom"/>
    </xf>
    <xf numFmtId="0" fontId="0" fillId="4" borderId="6" applyNumberFormat="0" applyFont="1" applyFill="1" applyBorder="1" applyAlignment="1" applyProtection="0">
      <alignment vertical="bottom"/>
    </xf>
    <xf numFmtId="0" fontId="0" fillId="4" borderId="7" applyNumberFormat="0" applyFont="1" applyFill="1" applyBorder="1" applyAlignment="1" applyProtection="0">
      <alignment vertical="bottom"/>
    </xf>
    <xf numFmtId="0" fontId="0" fillId="4" borderId="8" applyNumberFormat="0" applyFont="1" applyFill="1" applyBorder="1" applyAlignment="1" applyProtection="0">
      <alignment vertical="bottom"/>
    </xf>
    <xf numFmtId="49" fontId="6" fillId="4" borderId="9" applyNumberFormat="1" applyFont="1" applyFill="1" applyBorder="1" applyAlignment="1" applyProtection="0">
      <alignment horizontal="right" vertical="bottom"/>
    </xf>
    <xf numFmtId="49" fontId="6" fillId="4" borderId="9" applyNumberFormat="1" applyFont="1" applyFill="1" applyBorder="1" applyAlignment="1" applyProtection="0">
      <alignment vertical="bottom"/>
    </xf>
    <xf numFmtId="0" fontId="0" fillId="4" borderId="10" applyNumberFormat="0" applyFont="1" applyFill="1" applyBorder="1" applyAlignment="1" applyProtection="0">
      <alignment vertical="bottom"/>
    </xf>
    <xf numFmtId="0" fontId="0" fillId="4" borderId="9" applyNumberFormat="0" applyFont="1" applyFill="1" applyBorder="1" applyAlignment="1" applyProtection="0">
      <alignment horizontal="right" vertical="bottom"/>
    </xf>
    <xf numFmtId="49" fontId="8" fillId="4" borderId="9" applyNumberFormat="1" applyFont="1" applyFill="1" applyBorder="1" applyAlignment="1" applyProtection="0">
      <alignment vertical="bottom"/>
    </xf>
    <xf numFmtId="0" fontId="8" fillId="4" borderId="9" applyNumberFormat="0" applyFont="1" applyFill="1" applyBorder="1" applyAlignment="1" applyProtection="0">
      <alignment vertical="bottom"/>
    </xf>
    <xf numFmtId="0" fontId="9" fillId="4" borderId="9" applyNumberFormat="0" applyFont="1" applyFill="1" applyBorder="1" applyAlignment="1" applyProtection="0">
      <alignment horizontal="right" vertical="bottom"/>
    </xf>
    <xf numFmtId="49" fontId="9" fillId="4" borderId="9" applyNumberFormat="1" applyFont="1" applyFill="1" applyBorder="1" applyAlignment="1" applyProtection="0">
      <alignment horizontal="left" vertical="bottom"/>
    </xf>
    <xf numFmtId="0" fontId="9" fillId="4" borderId="9" applyNumberFormat="0" applyFont="1" applyFill="1" applyBorder="1" applyAlignment="1" applyProtection="0">
      <alignment horizontal="left" vertical="bottom"/>
    </xf>
    <xf numFmtId="49" fontId="8" fillId="4" borderId="9" applyNumberFormat="1" applyFont="1" applyFill="1" applyBorder="1" applyAlignment="1" applyProtection="0">
      <alignment horizontal="left" vertical="top" wrapText="1"/>
    </xf>
    <xf numFmtId="0" fontId="8" fillId="4" borderId="9" applyNumberFormat="0" applyFont="1" applyFill="1" applyBorder="1" applyAlignment="1" applyProtection="0">
      <alignment horizontal="left" vertical="top" wrapText="1"/>
    </xf>
    <xf numFmtId="0" fontId="6" fillId="4" borderId="9" applyNumberFormat="0" applyFont="1" applyFill="1" applyBorder="1" applyAlignment="1" applyProtection="0">
      <alignment horizontal="right" vertical="bottom"/>
    </xf>
    <xf numFmtId="49" fontId="6" fillId="4" borderId="9" applyNumberFormat="1" applyFont="1" applyFill="1" applyBorder="1" applyAlignment="1" applyProtection="0">
      <alignment horizontal="left" vertical="top" wrapText="1"/>
    </xf>
    <xf numFmtId="0" fontId="6" fillId="4" borderId="9" applyNumberFormat="0" applyFont="1" applyFill="1" applyBorder="1" applyAlignment="1" applyProtection="0">
      <alignment horizontal="left" vertical="top" wrapText="1"/>
    </xf>
    <xf numFmtId="49" fontId="10" fillId="4" borderId="9" applyNumberFormat="1" applyFont="1" applyFill="1" applyBorder="1" applyAlignment="1" applyProtection="0">
      <alignment horizontal="left" vertical="bottom"/>
    </xf>
    <xf numFmtId="0" fontId="10" fillId="4" borderId="9" applyNumberFormat="0" applyFont="1" applyFill="1" applyBorder="1" applyAlignment="1" applyProtection="0">
      <alignment horizontal="left" vertical="bottom"/>
    </xf>
    <xf numFmtId="0" fontId="8" fillId="4" borderId="9" applyNumberFormat="0" applyFont="1" applyFill="1" applyBorder="1" applyAlignment="1" applyProtection="0">
      <alignment horizontal="left" vertical="bottom"/>
    </xf>
    <xf numFmtId="49" fontId="11" fillId="4" borderId="9" applyNumberFormat="1" applyFont="1" applyFill="1" applyBorder="1" applyAlignment="1" applyProtection="0">
      <alignment horizontal="left" vertical="top" wrapText="1"/>
    </xf>
    <xf numFmtId="0" fontId="11" fillId="4" borderId="9" applyNumberFormat="0" applyFont="1" applyFill="1" applyBorder="1" applyAlignment="1" applyProtection="0">
      <alignment horizontal="left" vertical="top" wrapText="1"/>
    </xf>
    <xf numFmtId="49" fontId="12" fillId="4" borderId="9" applyNumberFormat="1" applyFont="1" applyFill="1" applyBorder="1" applyAlignment="1" applyProtection="0">
      <alignment horizontal="center" vertical="center"/>
    </xf>
    <xf numFmtId="0" fontId="12" fillId="4" borderId="9" applyNumberFormat="0" applyFont="1" applyFill="1" applyBorder="1" applyAlignment="1" applyProtection="0">
      <alignment horizontal="center" vertical="center"/>
    </xf>
    <xf numFmtId="49" fontId="13" fillId="4" borderId="9" applyNumberFormat="1" applyFont="1" applyFill="1" applyBorder="1" applyAlignment="1" applyProtection="0">
      <alignment horizontal="center" vertical="bottom" wrapText="1"/>
    </xf>
    <xf numFmtId="0" fontId="13" fillId="4" borderId="9" applyNumberFormat="0" applyFont="1" applyFill="1" applyBorder="1" applyAlignment="1" applyProtection="0">
      <alignment horizontal="center" vertical="bottom" wrapText="1"/>
    </xf>
    <xf numFmtId="0" fontId="0" fillId="4" borderId="11" applyNumberFormat="0" applyFont="1" applyFill="1" applyBorder="1" applyAlignment="1" applyProtection="0">
      <alignment vertical="bottom"/>
    </xf>
    <xf numFmtId="0" fontId="0" fillId="4" borderId="12" applyNumberFormat="0" applyFont="1" applyFill="1" applyBorder="1" applyAlignment="1" applyProtection="0">
      <alignment vertical="bottom"/>
    </xf>
    <xf numFmtId="0" fontId="0" fillId="4" borderId="13" applyNumberFormat="0" applyFont="1" applyFill="1" applyBorder="1" applyAlignment="1" applyProtection="0">
      <alignment vertical="bottom"/>
    </xf>
    <xf numFmtId="0" fontId="0" fillId="4" borderId="14" applyNumberFormat="0" applyFont="1" applyFill="1" applyBorder="1" applyAlignment="1" applyProtection="0">
      <alignment vertical="bottom"/>
    </xf>
    <xf numFmtId="0" fontId="0" applyNumberFormat="1" applyFont="1" applyFill="0" applyBorder="0" applyAlignment="1" applyProtection="0">
      <alignment vertical="bottom"/>
    </xf>
    <xf numFmtId="0" fontId="0" fillId="4" borderId="15" applyNumberFormat="0" applyFont="1" applyFill="1" applyBorder="1" applyAlignment="1" applyProtection="0">
      <alignment vertical="bottom"/>
    </xf>
    <xf numFmtId="0" fontId="0" fillId="4" borderId="15" applyNumberFormat="0" applyFont="1" applyFill="1" applyBorder="1" applyAlignment="1" applyProtection="0">
      <alignment vertical="top"/>
    </xf>
    <xf numFmtId="0" fontId="0" fillId="4" borderId="16" applyNumberFormat="0" applyFont="1" applyFill="1" applyBorder="1" applyAlignment="1" applyProtection="0">
      <alignment vertical="bottom"/>
    </xf>
    <xf numFmtId="0" fontId="0" fillId="4" borderId="17" applyNumberFormat="0" applyFont="1" applyFill="1" applyBorder="1" applyAlignment="1" applyProtection="0">
      <alignment vertical="bottom"/>
    </xf>
    <xf numFmtId="0" fontId="0" fillId="4" borderId="9" applyNumberFormat="0" applyFont="1" applyFill="1" applyBorder="1" applyAlignment="1" applyProtection="0">
      <alignment vertical="bottom"/>
    </xf>
    <xf numFmtId="0" fontId="0" fillId="4" borderId="9" applyNumberFormat="0" applyFont="1" applyFill="1" applyBorder="1" applyAlignment="1" applyProtection="0">
      <alignment vertical="top"/>
    </xf>
    <xf numFmtId="0" fontId="0" fillId="4" borderId="18" applyNumberFormat="0" applyFont="1" applyFill="1" applyBorder="1" applyAlignment="1" applyProtection="0">
      <alignment vertical="bottom"/>
    </xf>
    <xf numFmtId="49" fontId="6" fillId="4" borderId="9" applyNumberFormat="1" applyFont="1" applyFill="1" applyBorder="1" applyAlignment="1" applyProtection="0">
      <alignment horizontal="left" vertical="bottom"/>
    </xf>
    <xf numFmtId="0" fontId="6" fillId="4" borderId="9" applyNumberFormat="0" applyFont="1" applyFill="1" applyBorder="1" applyAlignment="1" applyProtection="0">
      <alignment horizontal="left" vertical="bottom"/>
    </xf>
    <xf numFmtId="0" fontId="6" fillId="4" borderId="13" applyNumberFormat="0" applyFont="1" applyFill="1" applyBorder="1" applyAlignment="1" applyProtection="0">
      <alignment horizontal="left" vertical="bottom"/>
    </xf>
    <xf numFmtId="0" fontId="6" fillId="4" borderId="13" applyNumberFormat="0" applyFont="1" applyFill="1" applyBorder="1" applyAlignment="1" applyProtection="0">
      <alignment horizontal="right" vertical="bottom"/>
    </xf>
    <xf numFmtId="49" fontId="7" fillId="5" borderId="19" applyNumberFormat="1" applyFont="1" applyFill="1" applyBorder="1" applyAlignment="1" applyProtection="0">
      <alignment horizontal="center" vertical="center"/>
    </xf>
    <xf numFmtId="0" fontId="7" fillId="5" borderId="20" applyNumberFormat="0" applyFont="1" applyFill="1" applyBorder="1" applyAlignment="1" applyProtection="0">
      <alignment horizontal="center" vertical="center"/>
    </xf>
    <xf numFmtId="0" fontId="7" fillId="5" borderId="21" applyNumberFormat="0" applyFont="1" applyFill="1" applyBorder="1" applyAlignment="1" applyProtection="0">
      <alignment horizontal="center" vertical="center"/>
    </xf>
    <xf numFmtId="0" fontId="6" fillId="4" borderId="8" applyNumberFormat="0" applyFont="1" applyFill="1" applyBorder="1" applyAlignment="1" applyProtection="0">
      <alignment horizontal="right" vertical="bottom"/>
    </xf>
    <xf numFmtId="0" fontId="6" fillId="4" borderId="6" applyNumberFormat="0" applyFont="1" applyFill="1" applyBorder="1" applyAlignment="1" applyProtection="0">
      <alignment horizontal="left" vertical="bottom"/>
    </xf>
    <xf numFmtId="0" fontId="6" fillId="4" borderId="6" applyNumberFormat="0" applyFont="1" applyFill="1" applyBorder="1" applyAlignment="1" applyProtection="0">
      <alignment horizontal="right" vertical="bottom"/>
    </xf>
    <xf numFmtId="49" fontId="7" fillId="4" borderId="9" applyNumberFormat="1" applyFont="1" applyFill="1" applyBorder="1" applyAlignment="1" applyProtection="0">
      <alignment horizontal="center" vertical="bottom" wrapText="1"/>
    </xf>
    <xf numFmtId="0" fontId="7" fillId="4" borderId="9" applyNumberFormat="0" applyFont="1" applyFill="1" applyBorder="1" applyAlignment="1" applyProtection="0">
      <alignment horizontal="center" vertical="bottom" wrapText="1"/>
    </xf>
    <xf numFmtId="49" fontId="7" fillId="4" borderId="9" applyNumberFormat="1" applyFont="1" applyFill="1" applyBorder="1" applyAlignment="1" applyProtection="0">
      <alignment vertical="center"/>
    </xf>
    <xf numFmtId="0" fontId="7" fillId="4" borderId="9" applyNumberFormat="0" applyFont="1" applyFill="1" applyBorder="1" applyAlignment="1" applyProtection="0">
      <alignment vertical="bottom"/>
    </xf>
    <xf numFmtId="0" fontId="14" fillId="4" borderId="9" applyNumberFormat="0" applyFont="1" applyFill="1" applyBorder="1" applyAlignment="1" applyProtection="0">
      <alignment horizontal="center" vertical="center" wrapText="1"/>
    </xf>
    <xf numFmtId="0" fontId="14" fillId="4" borderId="18" applyNumberFormat="0" applyFont="1" applyFill="1" applyBorder="1" applyAlignment="1" applyProtection="0">
      <alignment horizontal="center" vertical="center" wrapText="1"/>
    </xf>
    <xf numFmtId="49" fontId="6" fillId="4" borderId="9" applyNumberFormat="1" applyFont="1" applyFill="1" applyBorder="1" applyAlignment="1" applyProtection="0">
      <alignment horizontal="right" vertical="top"/>
    </xf>
    <xf numFmtId="49" fontId="0" fillId="4" borderId="9" applyNumberFormat="1" applyFont="1" applyFill="1" applyBorder="1" applyAlignment="1" applyProtection="0">
      <alignment vertical="top" wrapText="1"/>
    </xf>
    <xf numFmtId="0" fontId="15" fillId="4" borderId="9" applyNumberFormat="0" applyFont="1" applyFill="1" applyBorder="1" applyAlignment="1" applyProtection="0">
      <alignment horizontal="center" vertical="bottom" wrapText="1"/>
    </xf>
    <xf numFmtId="0" fontId="15" fillId="4" borderId="18" applyNumberFormat="0" applyFont="1" applyFill="1" applyBorder="1" applyAlignment="1" applyProtection="0">
      <alignment horizontal="center" vertical="bottom" wrapText="1"/>
    </xf>
    <xf numFmtId="0" fontId="6" fillId="4" borderId="9" applyNumberFormat="0" applyFont="1" applyFill="1" applyBorder="1" applyAlignment="1" applyProtection="0">
      <alignment horizontal="center" vertical="bottom"/>
    </xf>
    <xf numFmtId="0" fontId="6" fillId="4" borderId="18" applyNumberFormat="0" applyFont="1" applyFill="1" applyBorder="1" applyAlignment="1" applyProtection="0">
      <alignment horizontal="center" vertical="bottom"/>
    </xf>
    <xf numFmtId="49" fontId="14" fillId="4" borderId="9" applyNumberFormat="1" applyFont="1" applyFill="1" applyBorder="1" applyAlignment="1" applyProtection="0">
      <alignment horizontal="center" vertical="center" wrapText="1"/>
    </xf>
    <xf numFmtId="49" fontId="15" fillId="4" borderId="9" applyNumberFormat="1" applyFont="1" applyFill="1" applyBorder="1" applyAlignment="1" applyProtection="0">
      <alignment horizontal="center" vertical="top" wrapText="1"/>
    </xf>
    <xf numFmtId="0" fontId="15" fillId="4" borderId="9" applyNumberFormat="0" applyFont="1" applyFill="1" applyBorder="1" applyAlignment="1" applyProtection="0">
      <alignment horizontal="center" vertical="top" wrapText="1"/>
    </xf>
    <xf numFmtId="0" fontId="0" fillId="4" borderId="20" applyNumberFormat="0" applyFont="1" applyFill="1" applyBorder="1" applyAlignment="1" applyProtection="0">
      <alignment vertical="bottom"/>
    </xf>
    <xf numFmtId="0" fontId="6" fillId="4" borderId="20" applyNumberFormat="0" applyFont="1" applyFill="1" applyBorder="1" applyAlignment="1" applyProtection="0">
      <alignment horizontal="left" vertical="bottom"/>
    </xf>
    <xf numFmtId="0" fontId="6" fillId="4" borderId="20" applyNumberFormat="0" applyFont="1" applyFill="1" applyBorder="1" applyAlignment="1" applyProtection="0">
      <alignment horizontal="right" vertical="bottom"/>
    </xf>
    <xf numFmtId="0" fontId="15" fillId="4" borderId="22" applyNumberFormat="0" applyFont="1" applyFill="1" applyBorder="1" applyAlignment="1" applyProtection="0">
      <alignment horizontal="center" vertical="top" wrapText="1"/>
    </xf>
    <xf numFmtId="0" fontId="0" fillId="4" borderId="23" applyNumberFormat="0" applyFont="1" applyFill="1" applyBorder="1" applyAlignment="1" applyProtection="0">
      <alignment vertical="bottom"/>
    </xf>
    <xf numFmtId="0" fontId="0" fillId="5" borderId="24" applyNumberFormat="0" applyFont="1" applyFill="1" applyBorder="1" applyAlignment="1" applyProtection="0">
      <alignment vertical="bottom"/>
    </xf>
    <xf numFmtId="49" fontId="16" fillId="5" borderId="25" applyNumberFormat="1" applyFont="1" applyFill="1" applyBorder="1" applyAlignment="1" applyProtection="0">
      <alignment vertical="top"/>
    </xf>
    <xf numFmtId="0" fontId="0" fillId="5" borderId="26" applyNumberFormat="0" applyFont="1" applyFill="1" applyBorder="1" applyAlignment="1" applyProtection="0">
      <alignment vertical="bottom"/>
    </xf>
    <xf numFmtId="0" fontId="0" fillId="4" borderId="27" applyNumberFormat="0" applyFont="1" applyFill="1" applyBorder="1" applyAlignment="1" applyProtection="0">
      <alignment vertical="bottom"/>
    </xf>
    <xf numFmtId="0" fontId="0" fillId="4" borderId="28" applyNumberFormat="0" applyFont="1" applyFill="1" applyBorder="1" applyAlignment="1" applyProtection="0">
      <alignment vertical="bottom"/>
    </xf>
    <xf numFmtId="0" fontId="0" fillId="4" borderId="9" applyNumberFormat="0" applyFont="1" applyFill="1" applyBorder="1" applyAlignment="1" applyProtection="0">
      <alignment vertical="top" wrapText="1"/>
    </xf>
    <xf numFmtId="0" fontId="6" fillId="4" borderId="23" applyNumberFormat="0" applyFont="1" applyFill="1" applyBorder="1" applyAlignment="1" applyProtection="0">
      <alignment horizontal="right" vertical="bottom"/>
    </xf>
    <xf numFmtId="0" fontId="0" fillId="4" borderId="29" applyNumberFormat="0" applyFont="1" applyFill="1" applyBorder="1" applyAlignment="1" applyProtection="0">
      <alignment vertical="bottom"/>
    </xf>
    <xf numFmtId="0" fontId="0" fillId="4" borderId="22" applyNumberFormat="0" applyFont="1" applyFill="1" applyBorder="1" applyAlignment="1" applyProtection="0">
      <alignment vertical="top"/>
    </xf>
    <xf numFmtId="0" fontId="0" fillId="4" borderId="30" applyNumberFormat="0" applyFont="1" applyFill="1" applyBorder="1" applyAlignment="1" applyProtection="0">
      <alignment vertical="bottom"/>
    </xf>
    <xf numFmtId="0" fontId="0" fillId="4" borderId="25" applyNumberFormat="0" applyFont="1" applyFill="1" applyBorder="1" applyAlignment="1" applyProtection="0">
      <alignment vertical="bottom"/>
    </xf>
    <xf numFmtId="0" fontId="0" fillId="4" borderId="25" applyNumberFormat="0" applyFont="1" applyFill="1" applyBorder="1" applyAlignment="1" applyProtection="0">
      <alignment vertical="top"/>
    </xf>
    <xf numFmtId="0" fontId="0" fillId="4" borderId="22" applyNumberFormat="0" applyFont="1" applyFill="1" applyBorder="1" applyAlignment="1" applyProtection="0">
      <alignment vertical="bottom"/>
    </xf>
    <xf numFmtId="49" fontId="0" fillId="6" borderId="9" applyNumberFormat="1" applyFont="1" applyFill="1" applyBorder="1" applyAlignment="1" applyProtection="0">
      <alignment vertical="top"/>
    </xf>
    <xf numFmtId="49" fontId="0" fillId="4" borderId="9" applyNumberFormat="1" applyFont="1" applyFill="1" applyBorder="1" applyAlignment="1" applyProtection="0">
      <alignment vertical="top"/>
    </xf>
    <xf numFmtId="1" fontId="6" fillId="4" borderId="9" applyNumberFormat="1" applyFont="1" applyFill="1" applyBorder="1" applyAlignment="1" applyProtection="0">
      <alignment horizontal="right" vertical="top"/>
    </xf>
    <xf numFmtId="49" fontId="0" fillId="4" borderId="22" applyNumberFormat="1" applyFont="1" applyFill="1" applyBorder="1" applyAlignment="1" applyProtection="0">
      <alignment vertical="top" wrapText="1"/>
    </xf>
    <xf numFmtId="0" fontId="0" fillId="4" borderId="31" applyNumberFormat="0" applyFont="1" applyFill="1" applyBorder="1" applyAlignment="1" applyProtection="0">
      <alignment vertical="bottom"/>
    </xf>
    <xf numFmtId="0" fontId="0" fillId="4" borderId="31" applyNumberFormat="0" applyFont="1" applyFill="1" applyBorder="1" applyAlignment="1" applyProtection="0">
      <alignment vertical="top"/>
    </xf>
    <xf numFmtId="49" fontId="6" fillId="4" borderId="9" applyNumberFormat="1" applyFont="1" applyFill="1" applyBorder="1" applyAlignment="1" applyProtection="0">
      <alignment horizontal="left" vertical="bottom" wrapText="1"/>
    </xf>
    <xf numFmtId="0" fontId="6" fillId="4" borderId="22" applyNumberFormat="0" applyFont="1" applyFill="1" applyBorder="1" applyAlignment="1" applyProtection="0">
      <alignment horizontal="left" vertical="top" wrapText="1"/>
    </xf>
    <xf numFmtId="0" fontId="6" fillId="4" borderId="9" applyNumberFormat="0" applyFont="1" applyFill="1" applyBorder="1" applyAlignment="1" applyProtection="0">
      <alignment horizontal="left" vertical="bottom" wrapText="1"/>
    </xf>
    <xf numFmtId="1" fontId="6" fillId="4" borderId="13" applyNumberFormat="1" applyFont="1" applyFill="1" applyBorder="1" applyAlignment="1" applyProtection="0">
      <alignment horizontal="right" vertical="top"/>
    </xf>
    <xf numFmtId="0" fontId="0" fillId="4" borderId="13" applyNumberFormat="0" applyFont="1" applyFill="1" applyBorder="1" applyAlignment="1" applyProtection="0">
      <alignment vertical="top" wrapText="1"/>
    </xf>
    <xf numFmtId="1" fontId="6" fillId="4" borderId="6" applyNumberFormat="1" applyFont="1" applyFill="1" applyBorder="1" applyAlignment="1" applyProtection="0">
      <alignment horizontal="right" vertical="top"/>
    </xf>
    <xf numFmtId="0" fontId="0" fillId="4" borderId="6" applyNumberFormat="0" applyFont="1" applyFill="1" applyBorder="1" applyAlignment="1" applyProtection="0">
      <alignment vertical="top" wrapText="1"/>
    </xf>
    <xf numFmtId="0" fontId="0" fillId="4" borderId="22" applyNumberFormat="0" applyFont="1" applyFill="1" applyBorder="1" applyAlignment="1" applyProtection="0">
      <alignment vertical="top" wrapText="1"/>
    </xf>
    <xf numFmtId="49" fontId="6" fillId="4" borderId="22" applyNumberFormat="1" applyFont="1" applyFill="1" applyBorder="1" applyAlignment="1" applyProtection="0">
      <alignment horizontal="left" vertical="top" wrapText="1"/>
    </xf>
    <xf numFmtId="0" fontId="0" fillId="4" borderId="32" applyNumberFormat="0" applyFont="1" applyFill="1" applyBorder="1" applyAlignment="1" applyProtection="0">
      <alignment vertical="bottom"/>
    </xf>
    <xf numFmtId="0" fontId="0" fillId="4" borderId="33" applyNumberFormat="0" applyFont="1" applyFill="1" applyBorder="1" applyAlignment="1" applyProtection="0">
      <alignment vertical="bottom"/>
    </xf>
    <xf numFmtId="0" fontId="0" fillId="4" borderId="34" applyNumberFormat="0" applyFont="1" applyFill="1" applyBorder="1" applyAlignment="1" applyProtection="0">
      <alignment vertical="bottom"/>
    </xf>
    <xf numFmtId="0" fontId="0" fillId="4" borderId="35" applyNumberFormat="0" applyFont="1" applyFill="1" applyBorder="1" applyAlignment="1" applyProtection="0">
      <alignment vertical="bottom"/>
    </xf>
    <xf numFmtId="0" fontId="0" fillId="4" borderId="36" applyNumberFormat="0" applyFont="1" applyFill="1" applyBorder="1" applyAlignment="1" applyProtection="0">
      <alignment vertical="bottom"/>
    </xf>
    <xf numFmtId="0" fontId="0" applyNumberFormat="1" applyFont="1" applyFill="0" applyBorder="0" applyAlignment="1" applyProtection="0">
      <alignment vertical="bottom"/>
    </xf>
    <xf numFmtId="0" fontId="0" borderId="1" applyNumberFormat="0" applyFont="1" applyFill="0" applyBorder="1" applyAlignment="1" applyProtection="0">
      <alignment vertical="bottom"/>
    </xf>
    <xf numFmtId="49" fontId="21" borderId="15" applyNumberFormat="1" applyFont="1" applyFill="0" applyBorder="1" applyAlignment="1" applyProtection="0">
      <alignment vertical="bottom"/>
    </xf>
    <xf numFmtId="0" fontId="0" borderId="15" applyNumberFormat="0" applyFont="1" applyFill="0" applyBorder="1" applyAlignment="1" applyProtection="0">
      <alignment vertical="bottom"/>
    </xf>
    <xf numFmtId="0" fontId="22" borderId="15" applyNumberFormat="0" applyFont="1" applyFill="0" applyBorder="1" applyAlignment="1" applyProtection="0">
      <alignment vertical="bottom"/>
    </xf>
    <xf numFmtId="49" fontId="23" borderId="15" applyNumberFormat="1" applyFont="1" applyFill="0" applyBorder="1" applyAlignment="1" applyProtection="0">
      <alignment horizontal="right" vertical="bottom"/>
    </xf>
    <xf numFmtId="49" fontId="23" borderId="15" applyNumberFormat="1" applyFont="1" applyFill="0" applyBorder="1" applyAlignment="1" applyProtection="0">
      <alignment horizontal="left" vertical="bottom"/>
    </xf>
    <xf numFmtId="0" fontId="23" borderId="15" applyNumberFormat="0" applyFont="1" applyFill="0" applyBorder="1" applyAlignment="1" applyProtection="0">
      <alignment horizontal="left" vertical="bottom"/>
    </xf>
    <xf numFmtId="0" fontId="0" borderId="17" applyNumberFormat="0" applyFont="1" applyFill="0" applyBorder="1" applyAlignment="1" applyProtection="0">
      <alignment vertical="bottom"/>
    </xf>
    <xf numFmtId="49" fontId="24" borderId="9" applyNumberFormat="1" applyFont="1" applyFill="0" applyBorder="1" applyAlignment="1" applyProtection="0">
      <alignment vertical="bottom"/>
    </xf>
    <xf numFmtId="0" fontId="0" borderId="9" applyNumberFormat="0" applyFont="1" applyFill="0" applyBorder="1" applyAlignment="1" applyProtection="0">
      <alignment vertical="bottom"/>
    </xf>
    <xf numFmtId="0" fontId="22" borderId="9" applyNumberFormat="0" applyFont="1" applyFill="0" applyBorder="1" applyAlignment="1" applyProtection="0">
      <alignment vertical="bottom"/>
    </xf>
    <xf numFmtId="49" fontId="25" borderId="9" applyNumberFormat="1" applyFont="1" applyFill="0" applyBorder="1" applyAlignment="1" applyProtection="0">
      <alignment vertical="bottom"/>
    </xf>
    <xf numFmtId="0" fontId="15" fillId="4" borderId="9" applyNumberFormat="0" applyFont="1" applyFill="1" applyBorder="1" applyAlignment="1" applyProtection="0">
      <alignment vertical="bottom"/>
    </xf>
    <xf numFmtId="0" fontId="15" borderId="9" applyNumberFormat="0" applyFont="1" applyFill="0" applyBorder="1" applyAlignment="1" applyProtection="0">
      <alignment vertical="bottom"/>
    </xf>
    <xf numFmtId="0" fontId="27" borderId="13" applyNumberFormat="0" applyFont="1" applyFill="0" applyBorder="1" applyAlignment="1" applyProtection="0">
      <alignment vertical="bottom"/>
    </xf>
    <xf numFmtId="0" fontId="0" borderId="13" applyNumberFormat="0" applyFont="1" applyFill="0" applyBorder="1" applyAlignment="1" applyProtection="0">
      <alignment vertical="bottom"/>
    </xf>
    <xf numFmtId="0" fontId="0" borderId="4" applyNumberFormat="0" applyFont="1" applyFill="0" applyBorder="1" applyAlignment="1" applyProtection="0">
      <alignment vertical="bottom"/>
    </xf>
    <xf numFmtId="49" fontId="7" fillId="4" borderId="37" applyNumberFormat="1" applyFont="1" applyFill="1" applyBorder="1" applyAlignment="1" applyProtection="0">
      <alignment vertical="center"/>
    </xf>
    <xf numFmtId="0" fontId="0" fillId="4" borderId="38" applyNumberFormat="0" applyFont="1" applyFill="1" applyBorder="1" applyAlignment="1" applyProtection="0">
      <alignment vertical="center"/>
    </xf>
    <xf numFmtId="0" fontId="22" fillId="6" borderId="39" applyNumberFormat="1" applyFont="1" applyFill="1" applyBorder="1" applyAlignment="1" applyProtection="0">
      <alignment horizontal="center" vertical="center"/>
    </xf>
    <xf numFmtId="49" fontId="7" fillId="4" borderId="40" applyNumberFormat="1" applyFont="1" applyFill="1" applyBorder="1" applyAlignment="1" applyProtection="0">
      <alignment vertical="center"/>
    </xf>
    <xf numFmtId="0" fontId="0" fillId="4" borderId="41" applyNumberFormat="0" applyFont="1" applyFill="1" applyBorder="1" applyAlignment="1" applyProtection="0">
      <alignment vertical="center"/>
    </xf>
    <xf numFmtId="49" fontId="22" fillId="6" borderId="42" applyNumberFormat="1" applyFont="1" applyFill="1" applyBorder="1" applyAlignment="1" applyProtection="0">
      <alignment horizontal="center" vertical="center" wrapText="1"/>
    </xf>
    <xf numFmtId="49" fontId="30" borderId="9" applyNumberFormat="1" applyFont="1" applyFill="0" applyBorder="1" applyAlignment="1" applyProtection="0">
      <alignment horizontal="right" vertical="bottom"/>
    </xf>
    <xf numFmtId="49" fontId="7" borderId="9" applyNumberFormat="1" applyFont="1" applyFill="0" applyBorder="1" applyAlignment="1" applyProtection="0">
      <alignment horizontal="center" vertical="bottom"/>
    </xf>
    <xf numFmtId="49" fontId="30" borderId="9" applyNumberFormat="1" applyFont="1" applyFill="0" applyBorder="1" applyAlignment="1" applyProtection="0">
      <alignment vertical="bottom"/>
    </xf>
    <xf numFmtId="0" fontId="21" borderId="20" applyNumberFormat="0" applyFont="1" applyFill="0" applyBorder="1" applyAlignment="1" applyProtection="0">
      <alignment vertical="bottom"/>
    </xf>
    <xf numFmtId="0" fontId="0" borderId="20" applyNumberFormat="0" applyFont="1" applyFill="0" applyBorder="1" applyAlignment="1" applyProtection="0">
      <alignment vertical="bottom"/>
    </xf>
    <xf numFmtId="0" fontId="22" borderId="13" applyNumberFormat="0" applyFont="1" applyFill="0" applyBorder="1" applyAlignment="1" applyProtection="0">
      <alignment vertical="bottom"/>
    </xf>
    <xf numFmtId="49" fontId="31" fillId="7" borderId="19" applyNumberFormat="1" applyFont="1" applyFill="1" applyBorder="1" applyAlignment="1" applyProtection="0">
      <alignment horizontal="left" vertical="center"/>
    </xf>
    <xf numFmtId="0" fontId="31" fillId="7" borderId="20" applyNumberFormat="0" applyFont="1" applyFill="1" applyBorder="1" applyAlignment="1" applyProtection="0">
      <alignment horizontal="left" vertical="center"/>
    </xf>
    <xf numFmtId="0" fontId="31" fillId="7" borderId="21" applyNumberFormat="0" applyFont="1" applyFill="1" applyBorder="1" applyAlignment="1" applyProtection="0">
      <alignment horizontal="left" vertical="center"/>
    </xf>
    <xf numFmtId="49" fontId="31" fillId="8" borderId="19" applyNumberFormat="1" applyFont="1" applyFill="1" applyBorder="1" applyAlignment="1" applyProtection="0">
      <alignment horizontal="left" vertical="center"/>
    </xf>
    <xf numFmtId="0" fontId="31" fillId="8" borderId="20" applyNumberFormat="0" applyFont="1" applyFill="1" applyBorder="1" applyAlignment="1" applyProtection="0">
      <alignment horizontal="left" vertical="center"/>
    </xf>
    <xf numFmtId="0" fontId="32" fillId="8" borderId="20" applyNumberFormat="0" applyFont="1" applyFill="1" applyBorder="1" applyAlignment="1" applyProtection="0">
      <alignment horizontal="left" vertical="center"/>
    </xf>
    <xf numFmtId="0" fontId="31" fillId="8" borderId="21" applyNumberFormat="0" applyFont="1" applyFill="1" applyBorder="1" applyAlignment="1" applyProtection="0">
      <alignment horizontal="left" vertical="center"/>
    </xf>
    <xf numFmtId="49" fontId="31" fillId="9" borderId="19" applyNumberFormat="1" applyFont="1" applyFill="1" applyBorder="1" applyAlignment="1" applyProtection="0">
      <alignment horizontal="left" vertical="center"/>
    </xf>
    <xf numFmtId="0" fontId="31" fillId="9" borderId="20" applyNumberFormat="0" applyFont="1" applyFill="1" applyBorder="1" applyAlignment="1" applyProtection="0">
      <alignment horizontal="left" vertical="center"/>
    </xf>
    <xf numFmtId="0" fontId="31" fillId="9" borderId="21" applyNumberFormat="0" applyFont="1" applyFill="1" applyBorder="1" applyAlignment="1" applyProtection="0">
      <alignment horizontal="left" vertical="center"/>
    </xf>
    <xf numFmtId="49" fontId="31" fillId="10" borderId="19" applyNumberFormat="1" applyFont="1" applyFill="1" applyBorder="1" applyAlignment="1" applyProtection="0">
      <alignment horizontal="left" vertical="center"/>
    </xf>
    <xf numFmtId="0" fontId="31" fillId="10" borderId="20" applyNumberFormat="0" applyFont="1" applyFill="1" applyBorder="1" applyAlignment="1" applyProtection="0">
      <alignment horizontal="left" vertical="center"/>
    </xf>
    <xf numFmtId="0" fontId="31" fillId="10" borderId="21" applyNumberFormat="0" applyFont="1" applyFill="1" applyBorder="1" applyAlignment="1" applyProtection="0">
      <alignment horizontal="left" vertical="center"/>
    </xf>
    <xf numFmtId="49" fontId="31" fillId="11" borderId="19" applyNumberFormat="1" applyFont="1" applyFill="1" applyBorder="1" applyAlignment="1" applyProtection="0">
      <alignment horizontal="left" vertical="center"/>
    </xf>
    <xf numFmtId="0" fontId="31" fillId="11" borderId="20" applyNumberFormat="0" applyFont="1" applyFill="1" applyBorder="1" applyAlignment="1" applyProtection="0">
      <alignment horizontal="left" vertical="center"/>
    </xf>
    <xf numFmtId="0" fontId="31" fillId="11" borderId="21" applyNumberFormat="0" applyFont="1" applyFill="1" applyBorder="1" applyAlignment="1" applyProtection="0">
      <alignment horizontal="left" vertical="center"/>
    </xf>
    <xf numFmtId="0" fontId="0" borderId="12" applyNumberFormat="0" applyFont="1" applyFill="0" applyBorder="1" applyAlignment="1" applyProtection="0">
      <alignment vertical="bottom"/>
    </xf>
    <xf numFmtId="49" fontId="6" fillId="12" borderId="43" applyNumberFormat="1" applyFont="1" applyFill="1" applyBorder="1" applyAlignment="1" applyProtection="0">
      <alignment horizontal="center" vertical="center" wrapText="1"/>
    </xf>
    <xf numFmtId="49" fontId="6" fillId="12" borderId="44" applyNumberFormat="1" applyFont="1" applyFill="1" applyBorder="1" applyAlignment="1" applyProtection="0">
      <alignment horizontal="center" vertical="center" wrapText="1"/>
    </xf>
    <xf numFmtId="49" fontId="6" fillId="12" borderId="45" applyNumberFormat="1" applyFont="1" applyFill="1" applyBorder="1" applyAlignment="1" applyProtection="0">
      <alignment horizontal="center" vertical="center" wrapText="1"/>
    </xf>
    <xf numFmtId="49" fontId="6" fillId="12" borderId="44" applyNumberFormat="1" applyFont="1" applyFill="1" applyBorder="1" applyAlignment="1" applyProtection="0">
      <alignment horizontal="center" vertical="center"/>
    </xf>
    <xf numFmtId="49" fontId="6" fillId="12" borderId="46" applyNumberFormat="1" applyFont="1" applyFill="1" applyBorder="1" applyAlignment="1" applyProtection="0">
      <alignment horizontal="center" vertical="center" wrapText="1"/>
    </xf>
    <xf numFmtId="49" fontId="6" fillId="12" borderId="47" applyNumberFormat="1" applyFont="1" applyFill="1" applyBorder="1" applyAlignment="1" applyProtection="0">
      <alignment horizontal="center" vertical="center" wrapText="1"/>
    </xf>
    <xf numFmtId="49" fontId="0" fillId="6" borderId="48" applyNumberFormat="1" applyFont="1" applyFill="1" applyBorder="1" applyAlignment="1" applyProtection="0">
      <alignment vertical="center" wrapText="1"/>
    </xf>
    <xf numFmtId="49" fontId="0" fillId="13" borderId="49" applyNumberFormat="1" applyFont="1" applyFill="1" applyBorder="1" applyAlignment="1" applyProtection="0">
      <alignment vertical="center" wrapText="1"/>
    </xf>
    <xf numFmtId="0" fontId="0" fillId="13" borderId="49" applyNumberFormat="1" applyFont="1" applyFill="1" applyBorder="1" applyAlignment="1" applyProtection="0">
      <alignment vertical="center" wrapText="1"/>
    </xf>
    <xf numFmtId="0" fontId="0" fillId="13" borderId="49" applyNumberFormat="0" applyFont="1" applyFill="1" applyBorder="1" applyAlignment="1" applyProtection="0">
      <alignment vertical="center" wrapText="1"/>
    </xf>
    <xf numFmtId="0" fontId="0" fillId="13" borderId="49" applyNumberFormat="1" applyFont="1" applyFill="1" applyBorder="1" applyAlignment="1" applyProtection="0">
      <alignment horizontal="center" vertical="bottom"/>
    </xf>
    <xf numFmtId="49" fontId="33" fillId="14" borderId="49" applyNumberFormat="1" applyFont="1" applyFill="1" applyBorder="1" applyAlignment="1" applyProtection="0">
      <alignment horizontal="center" vertical="center" wrapText="1"/>
    </xf>
    <xf numFmtId="49" fontId="0" fillId="13" borderId="49" applyNumberFormat="1" applyFont="1" applyFill="1" applyBorder="1" applyAlignment="1" applyProtection="0">
      <alignment horizontal="center" vertical="center"/>
    </xf>
    <xf numFmtId="49" fontId="0" fillId="13" borderId="49" applyNumberFormat="1" applyFont="1" applyFill="1" applyBorder="1" applyAlignment="1" applyProtection="0">
      <alignment horizontal="center" vertical="center" wrapText="1"/>
    </xf>
    <xf numFmtId="0" fontId="0" fillId="13" borderId="49" applyNumberFormat="1" applyFont="1" applyFill="1" applyBorder="1" applyAlignment="1" applyProtection="0">
      <alignment horizontal="center" vertical="center" wrapText="1"/>
    </xf>
    <xf numFmtId="0" fontId="0" fillId="13" borderId="49" applyNumberFormat="0" applyFont="1" applyFill="1" applyBorder="1" applyAlignment="1" applyProtection="0">
      <alignment horizontal="center" vertical="center" wrapText="1"/>
    </xf>
    <xf numFmtId="49" fontId="0" fillId="13" borderId="49" applyNumberFormat="1" applyFont="1" applyFill="1" applyBorder="1" applyAlignment="1" applyProtection="0">
      <alignment horizontal="center" vertical="bottom"/>
    </xf>
    <xf numFmtId="0" fontId="0" fillId="13" borderId="49" applyNumberFormat="0" applyFont="1" applyFill="1" applyBorder="1" applyAlignment="1" applyProtection="0">
      <alignment horizontal="center" vertical="bottom"/>
    </xf>
    <xf numFmtId="0" fontId="0" fillId="13" borderId="49" applyNumberFormat="0" applyFont="1" applyFill="1" applyBorder="1" applyAlignment="1" applyProtection="0">
      <alignment horizontal="center" vertical="center"/>
    </xf>
    <xf numFmtId="0" fontId="0" fillId="13" borderId="50" applyNumberFormat="0" applyFont="1" applyFill="1" applyBorder="1" applyAlignment="1" applyProtection="0">
      <alignment horizontal="center" vertical="center" wrapText="1"/>
    </xf>
    <xf numFmtId="59" fontId="0" fillId="14" borderId="51" applyNumberFormat="1" applyFont="1" applyFill="1" applyBorder="1" applyAlignment="1" applyProtection="0">
      <alignment horizontal="center" vertical="bottom"/>
    </xf>
    <xf numFmtId="59" fontId="0" fillId="14" borderId="52" applyNumberFormat="1" applyFont="1" applyFill="1" applyBorder="1" applyAlignment="1" applyProtection="0">
      <alignment horizontal="center" vertical="bottom"/>
    </xf>
    <xf numFmtId="49" fontId="0" fillId="14" borderId="51" applyNumberFormat="1" applyFont="1" applyFill="1" applyBorder="1" applyAlignment="1" applyProtection="0">
      <alignment horizontal="center" vertical="bottom"/>
    </xf>
    <xf numFmtId="49" fontId="0" fillId="14" borderId="52" applyNumberFormat="1" applyFont="1" applyFill="1" applyBorder="1" applyAlignment="1" applyProtection="0">
      <alignment horizontal="center" vertical="bottom"/>
    </xf>
    <xf numFmtId="0" fontId="0" fillId="13" borderId="50" applyNumberFormat="1" applyFont="1" applyFill="1" applyBorder="1" applyAlignment="1" applyProtection="0">
      <alignment horizontal="center" vertical="center" wrapText="1"/>
    </xf>
    <xf numFmtId="0" fontId="0" fillId="6" borderId="48" applyNumberFormat="0" applyFont="1" applyFill="1" applyBorder="1" applyAlignment="1" applyProtection="0">
      <alignment vertical="center" wrapText="1"/>
    </xf>
    <xf numFmtId="0" fontId="0" fillId="6" borderId="53" applyNumberFormat="0" applyFont="1" applyFill="1" applyBorder="1" applyAlignment="1" applyProtection="0">
      <alignment vertical="center" wrapText="1"/>
    </xf>
    <xf numFmtId="0" fontId="0" fillId="13" borderId="54" applyNumberFormat="0" applyFont="1" applyFill="1" applyBorder="1" applyAlignment="1" applyProtection="0">
      <alignment vertical="center" wrapText="1"/>
    </xf>
    <xf numFmtId="0" fontId="0" fillId="13" borderId="54" applyNumberFormat="0" applyFont="1" applyFill="1" applyBorder="1" applyAlignment="1" applyProtection="0">
      <alignment horizontal="center" vertical="bottom"/>
    </xf>
    <xf numFmtId="49" fontId="33" fillId="14" borderId="54" applyNumberFormat="1" applyFont="1" applyFill="1" applyBorder="1" applyAlignment="1" applyProtection="0">
      <alignment horizontal="center" vertical="center" wrapText="1"/>
    </xf>
    <xf numFmtId="0" fontId="0" fillId="13" borderId="54" applyNumberFormat="0" applyFont="1" applyFill="1" applyBorder="1" applyAlignment="1" applyProtection="0">
      <alignment horizontal="center" vertical="center"/>
    </xf>
    <xf numFmtId="0" fontId="0" fillId="13" borderId="54" applyNumberFormat="0" applyFont="1" applyFill="1" applyBorder="1" applyAlignment="1" applyProtection="0">
      <alignment horizontal="center" vertical="center" wrapText="1"/>
    </xf>
    <xf numFmtId="0" fontId="0" fillId="13" borderId="55" applyNumberFormat="0" applyFont="1" applyFill="1" applyBorder="1" applyAlignment="1" applyProtection="0">
      <alignment horizontal="center" vertical="center" wrapText="1"/>
    </xf>
    <xf numFmtId="49" fontId="0" fillId="14" borderId="56" applyNumberFormat="1" applyFont="1" applyFill="1" applyBorder="1" applyAlignment="1" applyProtection="0">
      <alignment horizontal="center" vertical="bottom"/>
    </xf>
    <xf numFmtId="49" fontId="0" fillId="14" borderId="57" applyNumberFormat="1" applyFont="1" applyFill="1" applyBorder="1" applyAlignment="1" applyProtection="0">
      <alignment horizontal="center" vertical="bottom"/>
    </xf>
    <xf numFmtId="0" fontId="0" borderId="6" applyNumberFormat="0" applyFont="1" applyFill="0" applyBorder="1" applyAlignment="1" applyProtection="0">
      <alignment vertical="bottom"/>
    </xf>
    <xf numFmtId="0" fontId="0" fillId="4" borderId="6" applyNumberFormat="0" applyFont="1" applyFill="1" applyBorder="1" applyAlignment="1" applyProtection="0">
      <alignment horizontal="center" vertical="bottom"/>
    </xf>
    <xf numFmtId="0" fontId="0" fillId="4" borderId="6" applyNumberFormat="0" applyFont="1" applyFill="1" applyBorder="1" applyAlignment="1" applyProtection="0">
      <alignment horizontal="left" vertical="bottom"/>
    </xf>
    <xf numFmtId="0" fontId="0" fillId="4" borderId="9" applyNumberFormat="0" applyFont="1" applyFill="1" applyBorder="1" applyAlignment="1" applyProtection="0">
      <alignment horizontal="center" vertical="bottom"/>
    </xf>
    <xf numFmtId="0" fontId="0" fillId="4" borderId="9" applyNumberFormat="0" applyFont="1" applyFill="1" applyBorder="1" applyAlignment="1" applyProtection="0">
      <alignment horizontal="left" vertical="bottom"/>
    </xf>
    <xf numFmtId="0" fontId="0" borderId="32" applyNumberFormat="0" applyFont="1" applyFill="0" applyBorder="1" applyAlignment="1" applyProtection="0">
      <alignment vertical="bottom"/>
    </xf>
    <xf numFmtId="0" fontId="0" borderId="33" applyNumberFormat="0" applyFont="1" applyFill="0" applyBorder="1" applyAlignment="1" applyProtection="0">
      <alignment vertical="bottom"/>
    </xf>
    <xf numFmtId="0" fontId="0" fillId="4" borderId="33" applyNumberFormat="0" applyFont="1" applyFill="1" applyBorder="1" applyAlignment="1" applyProtection="0">
      <alignment horizontal="center" vertical="bottom"/>
    </xf>
    <xf numFmtId="0" fontId="0" fillId="4" borderId="33" applyNumberFormat="0" applyFont="1" applyFill="1" applyBorder="1" applyAlignment="1" applyProtection="0">
      <alignment horizontal="left" vertical="bottom"/>
    </xf>
    <xf numFmtId="0" fontId="0" applyNumberFormat="1" applyFont="1" applyFill="0" applyBorder="0" applyAlignment="1" applyProtection="0">
      <alignment vertical="bottom"/>
    </xf>
    <xf numFmtId="0" fontId="15" borderId="15" applyNumberFormat="0" applyFont="1" applyFill="0" applyBorder="1" applyAlignment="1" applyProtection="0">
      <alignment vertical="bottom"/>
    </xf>
    <xf numFmtId="0" fontId="0" borderId="16" applyNumberFormat="0" applyFont="1" applyFill="0" applyBorder="1" applyAlignment="1" applyProtection="0">
      <alignment vertical="bottom"/>
    </xf>
    <xf numFmtId="0" fontId="0" borderId="58" applyNumberFormat="0" applyFont="1" applyFill="0" applyBorder="1" applyAlignment="1" applyProtection="0">
      <alignment vertical="bottom"/>
    </xf>
    <xf numFmtId="0" fontId="15" borderId="58" applyNumberFormat="0" applyFont="1" applyFill="0" applyBorder="1" applyAlignment="1" applyProtection="0">
      <alignment vertical="bottom"/>
    </xf>
    <xf numFmtId="0" fontId="0" borderId="18" applyNumberFormat="0" applyFont="1" applyFill="0" applyBorder="1" applyAlignment="1" applyProtection="0">
      <alignment vertical="bottom"/>
    </xf>
    <xf numFmtId="0" fontId="0" borderId="59" applyNumberFormat="0" applyFont="1" applyFill="0" applyBorder="1" applyAlignment="1" applyProtection="0">
      <alignment vertical="bottom"/>
    </xf>
    <xf numFmtId="0" fontId="0" fillId="15" borderId="60" applyNumberFormat="0" applyFont="1" applyFill="1" applyBorder="1" applyAlignment="1" applyProtection="0">
      <alignment vertical="bottom"/>
    </xf>
    <xf numFmtId="49" fontId="0" borderId="61" applyNumberFormat="1" applyFont="1" applyFill="0" applyBorder="1" applyAlignment="1" applyProtection="0">
      <alignment horizontal="left" vertical="bottom"/>
    </xf>
    <xf numFmtId="0" fontId="0" borderId="61" applyNumberFormat="0" applyFont="1" applyFill="0" applyBorder="1" applyAlignment="1" applyProtection="0">
      <alignment horizontal="left" vertical="bottom"/>
    </xf>
    <xf numFmtId="49" fontId="22" fillId="6" borderId="62" applyNumberFormat="1" applyFont="1" applyFill="1" applyBorder="1" applyAlignment="1" applyProtection="0">
      <alignment vertical="bottom"/>
    </xf>
    <xf numFmtId="49" fontId="34" borderId="63" applyNumberFormat="1" applyFont="1" applyFill="0" applyBorder="1" applyAlignment="1" applyProtection="0">
      <alignment vertical="bottom"/>
    </xf>
    <xf numFmtId="0" fontId="0" fillId="15" borderId="51" applyNumberFormat="0" applyFont="1" applyFill="1" applyBorder="1" applyAlignment="1" applyProtection="0">
      <alignment vertical="bottom"/>
    </xf>
    <xf numFmtId="49" fontId="0" borderId="49" applyNumberFormat="1" applyFont="1" applyFill="0" applyBorder="1" applyAlignment="1" applyProtection="0">
      <alignment horizontal="left" vertical="bottom"/>
    </xf>
    <xf numFmtId="0" fontId="0" borderId="49" applyNumberFormat="0" applyFont="1" applyFill="0" applyBorder="1" applyAlignment="1" applyProtection="0">
      <alignment horizontal="left" vertical="bottom"/>
    </xf>
    <xf numFmtId="49" fontId="22" fillId="6" borderId="50" applyNumberFormat="1" applyFont="1" applyFill="1" applyBorder="1" applyAlignment="1" applyProtection="0">
      <alignment vertical="bottom"/>
    </xf>
    <xf numFmtId="0" fontId="0" fillId="15" borderId="64" applyNumberFormat="0" applyFont="1" applyFill="1" applyBorder="1" applyAlignment="1" applyProtection="0">
      <alignment vertical="bottom"/>
    </xf>
    <xf numFmtId="49" fontId="0" borderId="65" applyNumberFormat="1" applyFont="1" applyFill="0" applyBorder="1" applyAlignment="1" applyProtection="0">
      <alignment horizontal="left" vertical="bottom"/>
    </xf>
    <xf numFmtId="0" fontId="0" borderId="65" applyNumberFormat="0" applyFont="1" applyFill="0" applyBorder="1" applyAlignment="1" applyProtection="0">
      <alignment horizontal="left" vertical="bottom"/>
    </xf>
    <xf numFmtId="49" fontId="22" fillId="6" borderId="66" applyNumberFormat="1" applyFont="1" applyFill="1" applyBorder="1" applyAlignment="1" applyProtection="0">
      <alignment vertical="center" wrapText="1"/>
    </xf>
    <xf numFmtId="0" fontId="15" borderId="67" applyNumberFormat="0" applyFont="1" applyFill="0" applyBorder="1" applyAlignment="1" applyProtection="0">
      <alignment vertical="bottom"/>
    </xf>
    <xf numFmtId="0" fontId="0" borderId="67" applyNumberFormat="0" applyFont="1" applyFill="0" applyBorder="1" applyAlignment="1" applyProtection="0">
      <alignment vertical="bottom"/>
    </xf>
    <xf numFmtId="0" fontId="15" borderId="68" applyNumberFormat="0" applyFont="1" applyFill="0" applyBorder="1" applyAlignment="1" applyProtection="0">
      <alignment vertical="bottom"/>
    </xf>
    <xf numFmtId="49" fontId="0" borderId="67" applyNumberFormat="1" applyFont="1" applyFill="0" applyBorder="1" applyAlignment="1" applyProtection="0">
      <alignment horizontal="right" vertical="bottom"/>
    </xf>
    <xf numFmtId="49" fontId="0" borderId="67" applyNumberFormat="1" applyFont="1" applyFill="0" applyBorder="1" applyAlignment="1" applyProtection="0">
      <alignment vertical="bottom"/>
    </xf>
    <xf numFmtId="0" fontId="0" borderId="69" applyNumberFormat="0" applyFont="1" applyFill="0" applyBorder="1" applyAlignment="1" applyProtection="0">
      <alignment vertical="bottom"/>
    </xf>
    <xf numFmtId="0" fontId="0" borderId="70" applyNumberFormat="0" applyFont="1" applyFill="0" applyBorder="1" applyAlignment="1" applyProtection="0">
      <alignment vertical="bottom"/>
    </xf>
    <xf numFmtId="49" fontId="0" fillId="16" borderId="71" applyNumberFormat="1" applyFont="1" applyFill="1" applyBorder="1" applyAlignment="1" applyProtection="0">
      <alignment horizontal="right" vertical="bottom"/>
    </xf>
    <xf numFmtId="49" fontId="22" fillId="16" borderId="72" applyNumberFormat="1" applyFont="1" applyFill="1" applyBorder="1" applyAlignment="1" applyProtection="0">
      <alignment vertical="bottom"/>
    </xf>
    <xf numFmtId="0" fontId="0" fillId="16" borderId="72" applyNumberFormat="0" applyFont="1" applyFill="1" applyBorder="1" applyAlignment="1" applyProtection="0">
      <alignment vertical="bottom"/>
    </xf>
    <xf numFmtId="0" fontId="0" fillId="16" borderId="73" applyNumberFormat="0" applyFont="1" applyFill="1" applyBorder="1" applyAlignment="1" applyProtection="0">
      <alignment vertical="bottom"/>
    </xf>
    <xf numFmtId="0" fontId="22" fillId="16" borderId="71" applyNumberFormat="0" applyFont="1" applyFill="1" applyBorder="1" applyAlignment="1" applyProtection="0">
      <alignment vertical="bottom"/>
    </xf>
    <xf numFmtId="0" fontId="0" borderId="63" applyNumberFormat="0" applyFont="1" applyFill="0" applyBorder="1" applyAlignment="1" applyProtection="0">
      <alignment horizontal="right" vertical="bottom"/>
    </xf>
    <xf numFmtId="49" fontId="0" borderId="9" applyNumberFormat="1" applyFont="1" applyFill="0" applyBorder="1" applyAlignment="1" applyProtection="0">
      <alignment vertical="bottom"/>
    </xf>
    <xf numFmtId="0" fontId="0" fillId="6" borderId="9" applyNumberFormat="0" applyFont="1" applyFill="1" applyBorder="1" applyAlignment="1" applyProtection="0">
      <alignment horizontal="left" vertical="center"/>
    </xf>
    <xf numFmtId="0" fontId="0" fillId="6" borderId="74" applyNumberFormat="0" applyFont="1" applyFill="1" applyBorder="1" applyAlignment="1" applyProtection="0">
      <alignment horizontal="left" vertical="center"/>
    </xf>
    <xf numFmtId="0" fontId="0" borderId="63" applyNumberFormat="0" applyFont="1" applyFill="0" applyBorder="1" applyAlignment="1" applyProtection="0">
      <alignment vertical="bottom"/>
    </xf>
    <xf numFmtId="0" fontId="0" borderId="74" applyNumberFormat="0" applyFont="1" applyFill="0" applyBorder="1" applyAlignment="1" applyProtection="0">
      <alignment vertical="bottom"/>
    </xf>
    <xf numFmtId="49" fontId="0" fillId="6" borderId="9" applyNumberFormat="1" applyFont="1" applyFill="1" applyBorder="1" applyAlignment="1" applyProtection="0">
      <alignment horizontal="left" vertical="center"/>
    </xf>
    <xf numFmtId="0" fontId="0" borderId="75" applyNumberFormat="0" applyFont="1" applyFill="0" applyBorder="1" applyAlignment="1" applyProtection="0">
      <alignment horizontal="right" vertical="bottom"/>
    </xf>
    <xf numFmtId="49" fontId="0" borderId="58" applyNumberFormat="1" applyFont="1" applyFill="0" applyBorder="1" applyAlignment="1" applyProtection="0">
      <alignment vertical="bottom"/>
    </xf>
    <xf numFmtId="0" fontId="0" fillId="6" borderId="58" applyNumberFormat="0" applyFont="1" applyFill="1" applyBorder="1" applyAlignment="1" applyProtection="0">
      <alignment horizontal="left" vertical="center"/>
    </xf>
    <xf numFmtId="0" fontId="0" fillId="6" borderId="76" applyNumberFormat="0" applyFont="1" applyFill="1" applyBorder="1" applyAlignment="1" applyProtection="0">
      <alignment horizontal="left" vertical="center"/>
    </xf>
    <xf numFmtId="49" fontId="35" fillId="4" borderId="63" applyNumberFormat="1" applyFont="1" applyFill="1" applyBorder="1" applyAlignment="1" applyProtection="0">
      <alignment horizontal="center" vertical="center" wrapText="1"/>
    </xf>
    <xf numFmtId="0" fontId="35" fillId="4" borderId="9" applyNumberFormat="0" applyFont="1" applyFill="1" applyBorder="1" applyAlignment="1" applyProtection="0">
      <alignment horizontal="center" vertical="center" wrapText="1"/>
    </xf>
    <xf numFmtId="0" fontId="35" fillId="4" borderId="74" applyNumberFormat="0" applyFont="1" applyFill="1" applyBorder="1" applyAlignment="1" applyProtection="0">
      <alignment horizontal="center" vertical="center" wrapText="1"/>
    </xf>
    <xf numFmtId="0" fontId="35" fillId="4" borderId="63" applyNumberFormat="0" applyFont="1" applyFill="1" applyBorder="1" applyAlignment="1" applyProtection="0">
      <alignment horizontal="center" vertical="center" wrapText="1"/>
    </xf>
    <xf numFmtId="49" fontId="22" fillId="6" borderId="9" applyNumberFormat="1" applyFont="1" applyFill="1" applyBorder="1" applyAlignment="1" applyProtection="0">
      <alignment horizontal="left" vertical="center" wrapText="1"/>
    </xf>
    <xf numFmtId="0" fontId="22" fillId="6" borderId="9" applyNumberFormat="0" applyFont="1" applyFill="1" applyBorder="1" applyAlignment="1" applyProtection="0">
      <alignment horizontal="left" vertical="center" wrapText="1"/>
    </xf>
    <xf numFmtId="0" fontId="22" borderId="9" applyNumberFormat="0" applyFont="1" applyFill="0" applyBorder="1" applyAlignment="1" applyProtection="0">
      <alignment horizontal="right" vertical="bottom"/>
    </xf>
    <xf numFmtId="49" fontId="22" fillId="4" borderId="9" applyNumberFormat="1" applyFont="1" applyFill="1" applyBorder="1" applyAlignment="1" applyProtection="0">
      <alignment horizontal="left" vertical="center" wrapText="1"/>
    </xf>
    <xf numFmtId="0" fontId="22" fillId="4" borderId="9" applyNumberFormat="0" applyFont="1" applyFill="1" applyBorder="1" applyAlignment="1" applyProtection="0">
      <alignment horizontal="left" vertical="center" wrapText="1"/>
    </xf>
    <xf numFmtId="0" fontId="22" fillId="4" borderId="9" applyNumberFormat="1" applyFont="1" applyFill="1" applyBorder="1" applyAlignment="1" applyProtection="0">
      <alignment horizontal="left" vertical="center" wrapText="1"/>
    </xf>
    <xf numFmtId="49" fontId="0" fillId="4" borderId="58" applyNumberFormat="1" applyFont="1" applyFill="1" applyBorder="1" applyAlignment="1" applyProtection="0">
      <alignment vertical="bottom" wrapText="1"/>
    </xf>
    <xf numFmtId="49" fontId="22" borderId="58" applyNumberFormat="1" applyFont="1" applyFill="0" applyBorder="1" applyAlignment="1" applyProtection="0">
      <alignment horizontal="left" vertical="bottom"/>
    </xf>
    <xf numFmtId="0" fontId="0" borderId="76" applyNumberFormat="0" applyFont="1" applyFill="0" applyBorder="1" applyAlignment="1" applyProtection="0">
      <alignment vertical="bottom"/>
    </xf>
    <xf numFmtId="0" fontId="0" borderId="75" applyNumberFormat="0" applyFont="1" applyFill="0" applyBorder="1" applyAlignment="1" applyProtection="0">
      <alignment vertical="bottom"/>
    </xf>
    <xf numFmtId="49" fontId="22" fillId="16" borderId="72" applyNumberFormat="1" applyFont="1" applyFill="1" applyBorder="1" applyAlignment="1" applyProtection="0">
      <alignment horizontal="right" vertical="bottom"/>
    </xf>
    <xf numFmtId="0" fontId="22" fillId="16" borderId="73" applyNumberFormat="0" applyFont="1" applyFill="1" applyBorder="1" applyAlignment="1" applyProtection="0">
      <alignment vertical="bottom"/>
    </xf>
    <xf numFmtId="49" fontId="22" fillId="16" borderId="71" applyNumberFormat="1" applyFont="1" applyFill="1" applyBorder="1" applyAlignment="1" applyProtection="0">
      <alignment horizontal="right" vertical="bottom"/>
    </xf>
    <xf numFmtId="49" fontId="37" fillId="17" borderId="71" applyNumberFormat="1" applyFont="1" applyFill="1" applyBorder="1" applyAlignment="1" applyProtection="0">
      <alignment horizontal="right" vertical="bottom"/>
    </xf>
    <xf numFmtId="0" fontId="31" fillId="17" borderId="73" applyNumberFormat="0" applyFont="1" applyFill="1" applyBorder="1" applyAlignment="1" applyProtection="0">
      <alignment vertical="bottom"/>
    </xf>
    <xf numFmtId="49" fontId="22" fillId="16" borderId="71" applyNumberFormat="1" applyFont="1" applyFill="1" applyBorder="1" applyAlignment="1" applyProtection="0">
      <alignment horizontal="center" vertical="bottom"/>
    </xf>
    <xf numFmtId="49" fontId="38" fillId="16" borderId="73" applyNumberFormat="1" applyFont="1" applyFill="1" applyBorder="1" applyAlignment="1" applyProtection="0">
      <alignment horizontal="center" vertical="bottom"/>
    </xf>
    <xf numFmtId="0" fontId="15" borderId="70" applyNumberFormat="0" applyFont="1" applyFill="0" applyBorder="1" applyAlignment="1" applyProtection="0">
      <alignment vertical="bottom"/>
    </xf>
    <xf numFmtId="49" fontId="22" borderId="9" applyNumberFormat="1" applyFont="1" applyFill="0" applyBorder="1" applyAlignment="1" applyProtection="0">
      <alignment vertical="bottom"/>
    </xf>
    <xf numFmtId="2" fontId="0" borderId="9" applyNumberFormat="1" applyFont="1" applyFill="0" applyBorder="1" applyAlignment="1" applyProtection="0">
      <alignment horizontal="right" vertical="bottom"/>
    </xf>
    <xf numFmtId="59" fontId="0" borderId="63" applyNumberFormat="1" applyFont="1" applyFill="0" applyBorder="1" applyAlignment="1" applyProtection="0">
      <alignment horizontal="right" vertical="bottom"/>
    </xf>
    <xf numFmtId="0" fontId="37" borderId="74" applyNumberFormat="0" applyFont="1" applyFill="0" applyBorder="1" applyAlignment="1" applyProtection="0">
      <alignment vertical="bottom"/>
    </xf>
    <xf numFmtId="0" fontId="0" borderId="63" applyNumberFormat="0" applyFont="1" applyFill="0" applyBorder="1" applyAlignment="1" applyProtection="0">
      <alignment horizontal="center" vertical="bottom"/>
    </xf>
    <xf numFmtId="0" fontId="38" borderId="74" applyNumberFormat="0" applyFont="1" applyFill="0" applyBorder="1" applyAlignment="1" applyProtection="0">
      <alignment horizontal="center" vertical="bottom"/>
    </xf>
    <xf numFmtId="49" fontId="0" borderId="9" applyNumberFormat="1" applyFont="1" applyFill="0" applyBorder="1" applyAlignment="1" applyProtection="0">
      <alignment horizontal="left" vertical="bottom"/>
    </xf>
    <xf numFmtId="2" fontId="0" fillId="18" borderId="9" applyNumberFormat="1" applyFont="1" applyFill="1" applyBorder="1" applyAlignment="1" applyProtection="0">
      <alignment horizontal="right" vertical="bottom"/>
    </xf>
    <xf numFmtId="49" fontId="0" borderId="74" applyNumberFormat="1" applyFont="1" applyFill="0" applyBorder="1" applyAlignment="1" applyProtection="0">
      <alignment vertical="bottom"/>
    </xf>
    <xf numFmtId="2" fontId="0" fillId="18" borderId="63" applyNumberFormat="1" applyFont="1" applyFill="1" applyBorder="1" applyAlignment="1" applyProtection="0">
      <alignment horizontal="right" vertical="bottom"/>
    </xf>
    <xf numFmtId="0" fontId="0" fillId="18" borderId="63" applyNumberFormat="1" applyFont="1" applyFill="1" applyBorder="1" applyAlignment="1" applyProtection="0">
      <alignment horizontal="right" vertical="bottom"/>
    </xf>
    <xf numFmtId="49" fontId="37" fillId="17" borderId="74" applyNumberFormat="1" applyFont="1" applyFill="1" applyBorder="1" applyAlignment="1" applyProtection="0">
      <alignment vertical="bottom"/>
    </xf>
    <xf numFmtId="49" fontId="0" borderId="63" applyNumberFormat="1" applyFont="1" applyFill="0" applyBorder="1" applyAlignment="1" applyProtection="0">
      <alignment horizontal="center" vertical="bottom"/>
    </xf>
    <xf numFmtId="49" fontId="38" fillId="19" borderId="74" applyNumberFormat="1" applyFont="1" applyFill="1" applyBorder="1" applyAlignment="1" applyProtection="0">
      <alignment horizontal="center" vertical="bottom"/>
    </xf>
    <xf numFmtId="49" fontId="0" fillId="4" borderId="9" applyNumberFormat="1" applyFont="1" applyFill="1" applyBorder="1" applyAlignment="1" applyProtection="0">
      <alignment horizontal="left" vertical="center" wrapText="1"/>
    </xf>
    <xf numFmtId="2" fontId="0" fillId="20" borderId="9" applyNumberFormat="1" applyFont="1" applyFill="1" applyBorder="1" applyAlignment="1" applyProtection="0">
      <alignment horizontal="right" vertical="center"/>
    </xf>
    <xf numFmtId="49" fontId="0" fillId="4" borderId="74" applyNumberFormat="1" applyFont="1" applyFill="1" applyBorder="1" applyAlignment="1" applyProtection="0">
      <alignment horizontal="left" vertical="center"/>
    </xf>
    <xf numFmtId="2" fontId="0" fillId="20" borderId="63" applyNumberFormat="1" applyFont="1" applyFill="1" applyBorder="1" applyAlignment="1" applyProtection="0">
      <alignment horizontal="right" vertical="center"/>
    </xf>
    <xf numFmtId="0" fontId="0" fillId="20" borderId="63" applyNumberFormat="1" applyFont="1" applyFill="1" applyBorder="1" applyAlignment="1" applyProtection="0">
      <alignment horizontal="right" vertical="center"/>
    </xf>
    <xf numFmtId="49" fontId="37" fillId="17" borderId="74" applyNumberFormat="1" applyFont="1" applyFill="1" applyBorder="1" applyAlignment="1" applyProtection="0">
      <alignment horizontal="left" vertical="center"/>
    </xf>
    <xf numFmtId="49" fontId="0" fillId="4" borderId="63" applyNumberFormat="1" applyFont="1" applyFill="1" applyBorder="1" applyAlignment="1" applyProtection="0">
      <alignment horizontal="center" vertical="center"/>
    </xf>
    <xf numFmtId="49" fontId="38" fillId="19" borderId="74" applyNumberFormat="1" applyFont="1" applyFill="1" applyBorder="1" applyAlignment="1" applyProtection="0">
      <alignment horizontal="center" vertical="center"/>
    </xf>
    <xf numFmtId="49" fontId="22" fillId="4" borderId="9" applyNumberFormat="1" applyFont="1" applyFill="1" applyBorder="1" applyAlignment="1" applyProtection="0">
      <alignment horizontal="right" vertical="center" wrapText="1"/>
    </xf>
    <xf numFmtId="0" fontId="0" fillId="4" borderId="74" applyNumberFormat="0" applyFont="1" applyFill="1" applyBorder="1" applyAlignment="1" applyProtection="0">
      <alignment horizontal="left" vertical="center"/>
    </xf>
    <xf numFmtId="0" fontId="0" fillId="20" borderId="63" applyNumberFormat="0" applyFont="1" applyFill="1" applyBorder="1" applyAlignment="1" applyProtection="0">
      <alignment horizontal="right" vertical="center"/>
    </xf>
    <xf numFmtId="0" fontId="37" fillId="17" borderId="74" applyNumberFormat="0" applyFont="1" applyFill="1" applyBorder="1" applyAlignment="1" applyProtection="0">
      <alignment horizontal="left" vertical="center"/>
    </xf>
    <xf numFmtId="0" fontId="0" fillId="4" borderId="63" applyNumberFormat="0" applyFont="1" applyFill="1" applyBorder="1" applyAlignment="1" applyProtection="0">
      <alignment horizontal="center" vertical="center"/>
    </xf>
    <xf numFmtId="0" fontId="38" fillId="19" borderId="74" applyNumberFormat="0" applyFont="1" applyFill="1" applyBorder="1" applyAlignment="1" applyProtection="0">
      <alignment horizontal="center" vertical="center"/>
    </xf>
    <xf numFmtId="49" fontId="0" fillId="21" borderId="9" applyNumberFormat="1" applyFont="1" applyFill="1" applyBorder="1" applyAlignment="1" applyProtection="0">
      <alignment horizontal="center" vertical="bottom"/>
    </xf>
    <xf numFmtId="2" fontId="0" borderId="63" applyNumberFormat="1" applyFont="1" applyFill="0" applyBorder="1" applyAlignment="1" applyProtection="0">
      <alignment horizontal="right" vertical="bottom"/>
    </xf>
    <xf numFmtId="49" fontId="0" fillId="21" borderId="63" applyNumberFormat="1" applyFont="1" applyFill="1" applyBorder="1" applyAlignment="1" applyProtection="0">
      <alignment horizontal="center" vertical="bottom"/>
    </xf>
    <xf numFmtId="0" fontId="0" fillId="21" borderId="74" applyNumberFormat="0" applyFont="1" applyFill="1" applyBorder="1" applyAlignment="1" applyProtection="0">
      <alignment horizontal="center" vertical="bottom"/>
    </xf>
    <xf numFmtId="0" fontId="0" fillId="4" borderId="63" applyNumberFormat="0" applyFont="1" applyFill="1" applyBorder="1" applyAlignment="1" applyProtection="0">
      <alignment vertical="center"/>
    </xf>
    <xf numFmtId="2" fontId="0" fillId="22" borderId="9" applyNumberFormat="1" applyFont="1" applyFill="1" applyBorder="1" applyAlignment="1" applyProtection="0">
      <alignment vertical="center"/>
    </xf>
    <xf numFmtId="49" fontId="0" fillId="4" borderId="74" applyNumberFormat="1" applyFont="1" applyFill="1" applyBorder="1" applyAlignment="1" applyProtection="0">
      <alignment vertical="center"/>
    </xf>
    <xf numFmtId="2" fontId="0" fillId="22" borderId="63" applyNumberFormat="1" applyFont="1" applyFill="1" applyBorder="1" applyAlignment="1" applyProtection="0">
      <alignment horizontal="right" vertical="bottom"/>
    </xf>
    <xf numFmtId="1" fontId="0" fillId="22" borderId="63" applyNumberFormat="1" applyFont="1" applyFill="1" applyBorder="1" applyAlignment="1" applyProtection="0">
      <alignment horizontal="right" vertical="bottom"/>
    </xf>
    <xf numFmtId="2" fontId="0" fillId="23" borderId="9" applyNumberFormat="1" applyFont="1" applyFill="1" applyBorder="1" applyAlignment="1" applyProtection="0">
      <alignment horizontal="right" vertical="bottom"/>
    </xf>
    <xf numFmtId="2" fontId="0" fillId="23" borderId="63" applyNumberFormat="1" applyFont="1" applyFill="1" applyBorder="1" applyAlignment="1" applyProtection="0">
      <alignment horizontal="right" vertical="bottom"/>
    </xf>
    <xf numFmtId="1" fontId="0" fillId="23" borderId="63" applyNumberFormat="1" applyFont="1" applyFill="1" applyBorder="1" applyAlignment="1" applyProtection="0">
      <alignment horizontal="right" vertical="bottom"/>
    </xf>
    <xf numFmtId="0" fontId="0" fillId="4" borderId="63" applyNumberFormat="0" applyFont="1" applyFill="1" applyBorder="1" applyAlignment="1" applyProtection="0">
      <alignment horizontal="right" vertical="center"/>
    </xf>
    <xf numFmtId="2" fontId="0" fillId="24" borderId="9" applyNumberFormat="1" applyFont="1" applyFill="1" applyBorder="1" applyAlignment="1" applyProtection="0">
      <alignment horizontal="right" vertical="bottom"/>
    </xf>
    <xf numFmtId="2" fontId="0" fillId="24" borderId="63" applyNumberFormat="1" applyFont="1" applyFill="1" applyBorder="1" applyAlignment="1" applyProtection="0">
      <alignment horizontal="right" vertical="bottom"/>
    </xf>
    <xf numFmtId="0" fontId="0" fillId="24" borderId="63" applyNumberFormat="1" applyFont="1" applyFill="1" applyBorder="1" applyAlignment="1" applyProtection="0">
      <alignment horizontal="right" vertical="bottom"/>
    </xf>
    <xf numFmtId="49" fontId="0" fillId="24" borderId="9" applyNumberFormat="1" applyFont="1" applyFill="1" applyBorder="1" applyAlignment="1" applyProtection="0">
      <alignment horizontal="right" vertical="bottom"/>
    </xf>
    <xf numFmtId="49" fontId="0" fillId="24" borderId="63" applyNumberFormat="1" applyFont="1" applyFill="1" applyBorder="1" applyAlignment="1" applyProtection="0">
      <alignment horizontal="right" vertical="bottom"/>
    </xf>
    <xf numFmtId="0" fontId="0" fillId="4" borderId="75" applyNumberFormat="0" applyFont="1" applyFill="1" applyBorder="1" applyAlignment="1" applyProtection="0">
      <alignment horizontal="right" vertical="center"/>
    </xf>
    <xf numFmtId="49" fontId="0" borderId="58" applyNumberFormat="1" applyFont="1" applyFill="0" applyBorder="1" applyAlignment="1" applyProtection="0">
      <alignment horizontal="left" vertical="bottom"/>
    </xf>
    <xf numFmtId="49" fontId="0" fillId="24" borderId="58" applyNumberFormat="1" applyFont="1" applyFill="1" applyBorder="1" applyAlignment="1" applyProtection="0">
      <alignment horizontal="right" vertical="bottom"/>
    </xf>
    <xf numFmtId="49" fontId="0" borderId="76" applyNumberFormat="1" applyFont="1" applyFill="0" applyBorder="1" applyAlignment="1" applyProtection="0">
      <alignment vertical="bottom"/>
    </xf>
    <xf numFmtId="49" fontId="0" fillId="24" borderId="75" applyNumberFormat="1" applyFont="1" applyFill="1" applyBorder="1" applyAlignment="1" applyProtection="0">
      <alignment horizontal="right" vertical="bottom"/>
    </xf>
    <xf numFmtId="49" fontId="37" fillId="17" borderId="76" applyNumberFormat="1" applyFont="1" applyFill="1" applyBorder="1" applyAlignment="1" applyProtection="0">
      <alignment vertical="bottom"/>
    </xf>
    <xf numFmtId="49" fontId="0" borderId="75" applyNumberFormat="1" applyFont="1" applyFill="0" applyBorder="1" applyAlignment="1" applyProtection="0">
      <alignment horizontal="center" vertical="bottom"/>
    </xf>
    <xf numFmtId="49" fontId="38" fillId="19" borderId="76" applyNumberFormat="1" applyFont="1" applyFill="1" applyBorder="1" applyAlignment="1" applyProtection="0">
      <alignment horizontal="center" vertical="bottom"/>
    </xf>
    <xf numFmtId="49" fontId="39" fillId="4" borderId="77" applyNumberFormat="1" applyFont="1" applyFill="1" applyBorder="1" applyAlignment="1" applyProtection="0">
      <alignment horizontal="left" vertical="bottom" wrapText="1"/>
    </xf>
    <xf numFmtId="0" fontId="39" fillId="4" borderId="78" applyNumberFormat="0" applyFont="1" applyFill="1" applyBorder="1" applyAlignment="1" applyProtection="0">
      <alignment horizontal="left" vertical="bottom" wrapText="1"/>
    </xf>
    <xf numFmtId="0" fontId="39" fillId="4" borderId="79" applyNumberFormat="0" applyFont="1" applyFill="1" applyBorder="1" applyAlignment="1" applyProtection="0">
      <alignment horizontal="left" vertical="bottom" wrapText="1"/>
    </xf>
    <xf numFmtId="0" fontId="0" fillId="4" borderId="13" applyNumberFormat="0" applyFont="1" applyFill="1" applyBorder="1" applyAlignment="1" applyProtection="0">
      <alignment horizontal="left" vertical="bottom" wrapText="1"/>
    </xf>
    <xf numFmtId="0" fontId="6" borderId="5" applyNumberFormat="0" applyFont="1" applyFill="0" applyBorder="1" applyAlignment="1" applyProtection="0">
      <alignment vertical="bottom"/>
    </xf>
    <xf numFmtId="0" fontId="6" borderId="6" applyNumberFormat="0" applyFont="1" applyFill="0" applyBorder="1" applyAlignment="1" applyProtection="0">
      <alignment vertical="bottom"/>
    </xf>
    <xf numFmtId="0" fontId="6" borderId="7" applyNumberFormat="0" applyFont="1" applyFill="0" applyBorder="1" applyAlignment="1" applyProtection="0">
      <alignment vertical="bottom"/>
    </xf>
    <xf numFmtId="0" fontId="0" borderId="80" applyNumberFormat="0" applyFont="1" applyFill="0" applyBorder="1" applyAlignment="1" applyProtection="0">
      <alignment vertical="bottom"/>
    </xf>
    <xf numFmtId="49" fontId="14" fillId="4" borderId="8" applyNumberFormat="1" applyFont="1" applyFill="1" applyBorder="1" applyAlignment="1" applyProtection="0">
      <alignment horizontal="center" vertical="center" wrapText="1"/>
    </xf>
    <xf numFmtId="0" fontId="14" fillId="4" borderId="10" applyNumberFormat="0" applyFont="1" applyFill="1" applyBorder="1" applyAlignment="1" applyProtection="0">
      <alignment horizontal="center" vertical="center" wrapText="1"/>
    </xf>
    <xf numFmtId="49" fontId="15" fillId="4" borderId="8" applyNumberFormat="1" applyFont="1" applyFill="1" applyBorder="1" applyAlignment="1" applyProtection="0">
      <alignment horizontal="center" vertical="bottom" wrapText="1"/>
    </xf>
    <xf numFmtId="0" fontId="15" fillId="4" borderId="10" applyNumberFormat="0" applyFont="1" applyFill="1" applyBorder="1" applyAlignment="1" applyProtection="0">
      <alignment horizontal="center" vertical="bottom" wrapText="1"/>
    </xf>
    <xf numFmtId="0" fontId="6" borderId="8" applyNumberFormat="0" applyFont="1" applyFill="0" applyBorder="1" applyAlignment="1" applyProtection="0">
      <alignment horizontal="center" vertical="bottom"/>
    </xf>
    <xf numFmtId="0" fontId="6" borderId="9" applyNumberFormat="0" applyFont="1" applyFill="0" applyBorder="1" applyAlignment="1" applyProtection="0">
      <alignment horizontal="center" vertical="bottom"/>
    </xf>
    <xf numFmtId="0" fontId="6" borderId="10" applyNumberFormat="0" applyFont="1" applyFill="0" applyBorder="1" applyAlignment="1" applyProtection="0">
      <alignment horizontal="center" vertical="bottom"/>
    </xf>
    <xf numFmtId="49" fontId="6" borderId="8" applyNumberFormat="1" applyFont="1" applyFill="0" applyBorder="1" applyAlignment="1" applyProtection="0">
      <alignment horizontal="center" vertical="bottom"/>
    </xf>
    <xf numFmtId="49" fontId="0" borderId="8" applyNumberFormat="1" applyFont="1" applyFill="0" applyBorder="1" applyAlignment="1" applyProtection="0">
      <alignment horizontal="center" vertical="bottom"/>
    </xf>
    <xf numFmtId="0" fontId="6" borderId="12" applyNumberFormat="0" applyFont="1" applyFill="0" applyBorder="1" applyAlignment="1" applyProtection="0">
      <alignment vertical="bottom"/>
    </xf>
    <xf numFmtId="0" fontId="6" borderId="13" applyNumberFormat="0" applyFont="1" applyFill="0" applyBorder="1" applyAlignment="1" applyProtection="0">
      <alignment vertical="bottom"/>
    </xf>
    <xf numFmtId="0" fontId="6" borderId="14" applyNumberFormat="0" applyFont="1" applyFill="0" applyBorder="1" applyAlignment="1" applyProtection="0">
      <alignment vertical="bottom"/>
    </xf>
    <xf numFmtId="0" fontId="0" borderId="81" applyNumberFormat="0" applyFont="1" applyFill="0" applyBorder="1" applyAlignment="1" applyProtection="0">
      <alignment vertical="bottom"/>
    </xf>
    <xf numFmtId="0" fontId="0" borderId="36" applyNumberFormat="0" applyFont="1" applyFill="0" applyBorder="1" applyAlignment="1" applyProtection="0">
      <alignment vertical="bottom"/>
    </xf>
    <xf numFmtId="0" fontId="0" applyNumberFormat="1" applyFont="1" applyFill="0" applyBorder="0" applyAlignment="1" applyProtection="0">
      <alignment vertical="bottom"/>
    </xf>
    <xf numFmtId="49" fontId="41" fillId="4" borderId="9" applyNumberFormat="1" applyFont="1" applyFill="1" applyBorder="1" applyAlignment="1" applyProtection="0">
      <alignment horizontal="left" vertical="top"/>
    </xf>
    <xf numFmtId="49" fontId="42" fillId="4" borderId="82" applyNumberFormat="1" applyFont="1" applyFill="1" applyBorder="1" applyAlignment="1" applyProtection="0">
      <alignment horizontal="left" vertical="top"/>
    </xf>
    <xf numFmtId="0" fontId="0" fillId="4" borderId="82" applyNumberFormat="0" applyFont="1" applyFill="1" applyBorder="1" applyAlignment="1" applyProtection="0">
      <alignment vertical="bottom"/>
    </xf>
    <xf numFmtId="0" fontId="0" fillId="4" borderId="83" applyNumberFormat="0" applyFont="1" applyFill="1" applyBorder="1" applyAlignment="1" applyProtection="0">
      <alignment vertical="bottom"/>
    </xf>
    <xf numFmtId="0" fontId="0" fillId="4" borderId="84" applyNumberFormat="0" applyFont="1" applyFill="1" applyBorder="1" applyAlignment="1" applyProtection="0">
      <alignment vertical="bottom"/>
    </xf>
    <xf numFmtId="0" fontId="22" fillId="25" borderId="85" applyNumberFormat="1" applyFont="1" applyFill="1" applyBorder="1" applyAlignment="1" applyProtection="0">
      <alignment horizontal="left" vertical="top"/>
    </xf>
    <xf numFmtId="49" fontId="22" fillId="25" borderId="86" applyNumberFormat="1" applyFont="1" applyFill="1" applyBorder="1" applyAlignment="1" applyProtection="0">
      <alignment vertical="bottom"/>
    </xf>
    <xf numFmtId="0" fontId="22" fillId="25" borderId="86" applyNumberFormat="0" applyFont="1" applyFill="1" applyBorder="1" applyAlignment="1" applyProtection="0">
      <alignment vertical="bottom"/>
    </xf>
    <xf numFmtId="0" fontId="22" fillId="25" borderId="87" applyNumberFormat="0" applyFont="1" applyFill="1" applyBorder="1" applyAlignment="1" applyProtection="0">
      <alignment vertical="bottom"/>
    </xf>
    <xf numFmtId="49" fontId="0" fillId="4" borderId="85" applyNumberFormat="1" applyFont="1" applyFill="1" applyBorder="1" applyAlignment="1" applyProtection="0">
      <alignment vertical="top"/>
    </xf>
    <xf numFmtId="0" fontId="0" fillId="4" borderId="87" applyNumberFormat="0" applyFont="1" applyFill="1" applyBorder="1" applyAlignment="1" applyProtection="0">
      <alignment vertical="bottom"/>
    </xf>
    <xf numFmtId="0" fontId="0" fillId="4" borderId="85" applyNumberFormat="0" applyFont="1" applyFill="1" applyBorder="1" applyAlignment="1" applyProtection="0">
      <alignment horizontal="left" vertical="top"/>
    </xf>
    <xf numFmtId="0" fontId="0" fillId="4" borderId="86" applyNumberFormat="0" applyFont="1" applyFill="1" applyBorder="1" applyAlignment="1" applyProtection="0">
      <alignment horizontal="left" vertical="top"/>
    </xf>
    <xf numFmtId="0" fontId="0" fillId="4" borderId="87" applyNumberFormat="0" applyFont="1" applyFill="1" applyBorder="1" applyAlignment="1" applyProtection="0">
      <alignment horizontal="left" vertical="top"/>
    </xf>
    <xf numFmtId="0" fontId="0" fillId="4" borderId="88" applyNumberFormat="0" applyFont="1" applyFill="1" applyBorder="1" applyAlignment="1" applyProtection="0">
      <alignment vertical="top"/>
    </xf>
    <xf numFmtId="0" fontId="0" fillId="4" borderId="88" applyNumberFormat="0" applyFont="1" applyFill="1" applyBorder="1" applyAlignment="1" applyProtection="0">
      <alignment vertical="bottom"/>
    </xf>
    <xf numFmtId="0" fontId="0" fillId="4" borderId="89" applyNumberFormat="0" applyFont="1" applyFill="1" applyBorder="1" applyAlignment="1" applyProtection="0">
      <alignment vertical="bottom"/>
    </xf>
    <xf numFmtId="49" fontId="22" fillId="25" borderId="85" applyNumberFormat="1" applyFont="1" applyFill="1" applyBorder="1" applyAlignment="1" applyProtection="0">
      <alignment horizontal="left" vertical="top"/>
    </xf>
    <xf numFmtId="49" fontId="0" fillId="4" borderId="85" applyNumberFormat="1" applyFont="1" applyFill="1" applyBorder="1" applyAlignment="1" applyProtection="0">
      <alignment horizontal="left" vertical="top"/>
    </xf>
    <xf numFmtId="49" fontId="0" fillId="4" borderId="90" applyNumberFormat="1" applyFont="1" applyFill="1" applyBorder="1" applyAlignment="1" applyProtection="0">
      <alignment vertical="center" wrapText="1"/>
    </xf>
    <xf numFmtId="0" fontId="0" fillId="4" borderId="91" applyNumberFormat="0" applyFont="1" applyFill="1" applyBorder="1" applyAlignment="1" applyProtection="0">
      <alignment horizontal="left" vertical="center" wrapText="1"/>
    </xf>
    <xf numFmtId="49" fontId="0" fillId="4" borderId="90" applyNumberFormat="1" applyFont="1" applyFill="1" applyBorder="1" applyAlignment="1" applyProtection="0">
      <alignment horizontal="center" vertical="bottom"/>
    </xf>
    <xf numFmtId="0" fontId="0" fillId="4" borderId="91" applyNumberFormat="0" applyFont="1" applyFill="1" applyBorder="1" applyAlignment="1" applyProtection="0">
      <alignment horizontal="center" vertical="bottom"/>
    </xf>
    <xf numFmtId="49" fontId="0" fillId="4" borderId="92" applyNumberFormat="1" applyFont="1" applyFill="1" applyBorder="1" applyAlignment="1" applyProtection="0">
      <alignment horizontal="center" vertical="bottom"/>
    </xf>
    <xf numFmtId="0" fontId="0" fillId="4" borderId="93" applyNumberFormat="0" applyFont="1" applyFill="1" applyBorder="1" applyAlignment="1" applyProtection="0">
      <alignment vertical="center" wrapText="1"/>
    </xf>
    <xf numFmtId="0" fontId="0" fillId="4" borderId="94" applyNumberFormat="0" applyFont="1" applyFill="1" applyBorder="1" applyAlignment="1" applyProtection="0">
      <alignment horizontal="left" vertical="center" wrapText="1"/>
    </xf>
    <xf numFmtId="49" fontId="0" fillId="4" borderId="95" applyNumberFormat="1" applyFont="1" applyFill="1" applyBorder="1" applyAlignment="1" applyProtection="0">
      <alignment horizontal="center" vertical="bottom"/>
    </xf>
    <xf numFmtId="2" fontId="0" fillId="4" borderId="49" applyNumberFormat="1" applyFont="1" applyFill="1" applyBorder="1" applyAlignment="1" applyProtection="0">
      <alignment vertical="bottom"/>
    </xf>
    <xf numFmtId="10" fontId="0" fillId="4" borderId="49" applyNumberFormat="1" applyFont="1" applyFill="1" applyBorder="1" applyAlignment="1" applyProtection="0">
      <alignment vertical="bottom"/>
    </xf>
    <xf numFmtId="9" fontId="0" fillId="4" borderId="49" applyNumberFormat="1" applyFont="1" applyFill="1" applyBorder="1" applyAlignment="1" applyProtection="0">
      <alignment vertical="bottom"/>
    </xf>
    <xf numFmtId="0" fontId="0" fillId="4" borderId="85" applyNumberFormat="0" applyFont="1" applyFill="1" applyBorder="1" applyAlignment="1" applyProtection="0">
      <alignment horizontal="left" vertical="top" wrapText="1"/>
    </xf>
    <xf numFmtId="0" fontId="0" fillId="4" borderId="86" applyNumberFormat="0" applyFont="1" applyFill="1" applyBorder="1" applyAlignment="1" applyProtection="0">
      <alignment horizontal="left" vertical="top" wrapText="1"/>
    </xf>
    <xf numFmtId="0" fontId="0" fillId="4" borderId="87" applyNumberFormat="0" applyFont="1" applyFill="1" applyBorder="1" applyAlignment="1" applyProtection="0">
      <alignment horizontal="left" vertical="top" wrapText="1"/>
    </xf>
    <xf numFmtId="49" fontId="0" fillId="4" borderId="49" applyNumberFormat="1" applyFont="1" applyFill="1" applyBorder="1" applyAlignment="1" applyProtection="0">
      <alignment vertical="bottom"/>
    </xf>
    <xf numFmtId="0" fontId="0" fillId="4" borderId="85" applyNumberFormat="0" applyFont="1" applyFill="1" applyBorder="1" applyAlignment="1" applyProtection="0">
      <alignment horizontal="left" vertical="bottom"/>
    </xf>
    <xf numFmtId="0" fontId="0" fillId="4" borderId="86" applyNumberFormat="0" applyFont="1" applyFill="1" applyBorder="1" applyAlignment="1" applyProtection="0">
      <alignment horizontal="left" vertical="bottom"/>
    </xf>
    <xf numFmtId="0" fontId="0" fillId="4" borderId="87" applyNumberFormat="0" applyFont="1" applyFill="1" applyBorder="1" applyAlignment="1" applyProtection="0">
      <alignment horizontal="left" vertical="bottom"/>
    </xf>
    <xf numFmtId="14" fontId="0" fillId="4" borderId="85" applyNumberFormat="1" applyFont="1" applyFill="1" applyBorder="1" applyAlignment="1" applyProtection="0">
      <alignment horizontal="left" vertical="bottom"/>
    </xf>
    <xf numFmtId="49" fontId="0" fillId="4" borderId="85" applyNumberFormat="1" applyFont="1" applyFill="1" applyBorder="1" applyAlignment="1" applyProtection="0">
      <alignment vertical="bottom" wrapText="1"/>
    </xf>
    <xf numFmtId="0" fontId="0" fillId="4" borderId="86" applyNumberFormat="0" applyFont="1" applyFill="1" applyBorder="1" applyAlignment="1" applyProtection="0">
      <alignment vertical="bottom" wrapText="1"/>
    </xf>
    <xf numFmtId="0" fontId="0" fillId="4" borderId="87" applyNumberFormat="0" applyFont="1" applyFill="1" applyBorder="1" applyAlignment="1" applyProtection="0">
      <alignment vertical="bottom" wrapText="1"/>
    </xf>
    <xf numFmtId="49" fontId="0" fillId="4" borderId="49" applyNumberFormat="1" applyFont="1" applyFill="1" applyBorder="1" applyAlignment="1" applyProtection="0">
      <alignment horizontal="center" vertical="center"/>
    </xf>
    <xf numFmtId="49" fontId="43" fillId="4" borderId="33" applyNumberFormat="1" applyFont="1" applyFill="1" applyBorder="1" applyAlignment="1" applyProtection="0">
      <alignment horizontal="left" vertical="top"/>
    </xf>
    <xf numFmtId="0" fontId="0" applyNumberFormat="1" applyFont="1" applyFill="0" applyBorder="0" applyAlignment="1" applyProtection="0">
      <alignment vertical="bottom"/>
    </xf>
    <xf numFmtId="49" fontId="44" fillId="4" borderId="15" applyNumberFormat="1" applyFont="1" applyFill="1" applyBorder="1" applyAlignment="1" applyProtection="0">
      <alignment vertical="center"/>
    </xf>
    <xf numFmtId="0" fontId="44" fillId="4" borderId="15" applyNumberFormat="0" applyFont="1" applyFill="1" applyBorder="1" applyAlignment="1" applyProtection="0">
      <alignment vertical="center"/>
    </xf>
    <xf numFmtId="0" fontId="44" fillId="4" borderId="82" applyNumberFormat="0" applyFont="1" applyFill="1" applyBorder="1" applyAlignment="1" applyProtection="0">
      <alignment vertical="center"/>
    </xf>
    <xf numFmtId="0" fontId="44" fillId="4" borderId="9" applyNumberFormat="0" applyFont="1" applyFill="1" applyBorder="1" applyAlignment="1" applyProtection="0">
      <alignment vertical="center"/>
    </xf>
    <xf numFmtId="0" fontId="0" borderId="82" applyNumberFormat="0" applyFont="1" applyFill="0" applyBorder="1" applyAlignment="1" applyProtection="0">
      <alignment vertical="bottom"/>
    </xf>
    <xf numFmtId="0" fontId="0" borderId="84" applyNumberFormat="0" applyFont="1" applyFill="0" applyBorder="1" applyAlignment="1" applyProtection="0">
      <alignment vertical="bottom"/>
    </xf>
    <xf numFmtId="49" fontId="45" fillId="26" borderId="49" applyNumberFormat="1" applyFont="1" applyFill="1" applyBorder="1" applyAlignment="1" applyProtection="0">
      <alignment horizontal="center" vertical="center"/>
    </xf>
    <xf numFmtId="0" fontId="45" fillId="26" borderId="49" applyNumberFormat="0" applyFont="1" applyFill="1" applyBorder="1" applyAlignment="1" applyProtection="0">
      <alignment horizontal="center" vertical="center"/>
    </xf>
    <xf numFmtId="0" fontId="0" borderId="96" applyNumberFormat="0" applyFont="1" applyFill="0" applyBorder="1" applyAlignment="1" applyProtection="0">
      <alignment vertical="bottom"/>
    </xf>
    <xf numFmtId="49" fontId="45" fillId="27" borderId="49" applyNumberFormat="1" applyFont="1" applyFill="1" applyBorder="1" applyAlignment="1" applyProtection="0">
      <alignment horizontal="center" vertical="center"/>
    </xf>
    <xf numFmtId="0" fontId="45" fillId="27" borderId="49" applyNumberFormat="0" applyFont="1" applyFill="1" applyBorder="1" applyAlignment="1" applyProtection="0">
      <alignment horizontal="center" vertical="center"/>
    </xf>
    <xf numFmtId="0" fontId="0" fillId="4" borderId="97" applyNumberFormat="0" applyFont="1" applyFill="1" applyBorder="1" applyAlignment="1" applyProtection="0">
      <alignment vertical="bottom"/>
    </xf>
    <xf numFmtId="0" fontId="0" borderId="86" applyNumberFormat="0" applyFont="1" applyFill="0" applyBorder="1" applyAlignment="1" applyProtection="0">
      <alignment vertical="bottom"/>
    </xf>
    <xf numFmtId="49" fontId="22" borderId="92" applyNumberFormat="1" applyFont="1" applyFill="0" applyBorder="1" applyAlignment="1" applyProtection="0">
      <alignment horizontal="center" vertical="bottom"/>
    </xf>
    <xf numFmtId="49" fontId="22" borderId="98" applyNumberFormat="1" applyFont="1" applyFill="0" applyBorder="1" applyAlignment="1" applyProtection="0">
      <alignment horizontal="center" vertical="bottom"/>
    </xf>
    <xf numFmtId="0" fontId="22" borderId="99" applyNumberFormat="0" applyFont="1" applyFill="0" applyBorder="1" applyAlignment="1" applyProtection="0">
      <alignment horizontal="center" vertical="bottom"/>
    </xf>
    <xf numFmtId="0" fontId="22" borderId="100" applyNumberFormat="0" applyFont="1" applyFill="0" applyBorder="1" applyAlignment="1" applyProtection="0">
      <alignment horizontal="center" vertical="bottom"/>
    </xf>
    <xf numFmtId="49" fontId="22" borderId="101" applyNumberFormat="1" applyFont="1" applyFill="0" applyBorder="1" applyAlignment="1" applyProtection="0">
      <alignment horizontal="center" vertical="bottom"/>
    </xf>
    <xf numFmtId="0" fontId="22" fillId="4" borderId="95" applyNumberFormat="0" applyFont="1" applyFill="1" applyBorder="1" applyAlignment="1" applyProtection="0">
      <alignment horizontal="center" vertical="center"/>
    </xf>
    <xf numFmtId="49" fontId="22" fillId="28" borderId="49" applyNumberFormat="1" applyFont="1" applyFill="1" applyBorder="1" applyAlignment="1" applyProtection="0">
      <alignment horizontal="center" vertical="center"/>
    </xf>
    <xf numFmtId="0" fontId="22" fillId="28" borderId="49" applyNumberFormat="0" applyFont="1" applyFill="1" applyBorder="1" applyAlignment="1" applyProtection="0">
      <alignment vertical="bottom"/>
    </xf>
    <xf numFmtId="49" fontId="22" fillId="29" borderId="49" applyNumberFormat="1" applyFont="1" applyFill="1" applyBorder="1" applyAlignment="1" applyProtection="0">
      <alignment horizontal="center" vertical="center"/>
    </xf>
    <xf numFmtId="0" fontId="22" fillId="29" borderId="49" applyNumberFormat="0" applyFont="1" applyFill="1" applyBorder="1" applyAlignment="1" applyProtection="0">
      <alignment horizontal="center" vertical="center"/>
    </xf>
    <xf numFmtId="0" fontId="22" fillId="4" borderId="102" applyNumberFormat="0" applyFont="1" applyFill="1" applyBorder="1" applyAlignment="1" applyProtection="0">
      <alignment horizontal="center" vertical="center"/>
    </xf>
    <xf numFmtId="49" fontId="0" fillId="4" borderId="49" applyNumberFormat="1" applyFont="1" applyFill="1" applyBorder="1" applyAlignment="1" applyProtection="0">
      <alignment horizontal="center" vertical="center" wrapText="1"/>
    </xf>
    <xf numFmtId="49" fontId="0" fillId="4" borderId="101" applyNumberFormat="1" applyFont="1" applyFill="1" applyBorder="1" applyAlignment="1" applyProtection="0">
      <alignment horizontal="center" vertical="center" wrapText="1"/>
    </xf>
    <xf numFmtId="49" fontId="0" fillId="4" borderId="49" applyNumberFormat="1" applyFont="1" applyFill="1" applyBorder="1" applyAlignment="1" applyProtection="0">
      <alignment horizontal="left" vertical="center"/>
    </xf>
    <xf numFmtId="1" fontId="0" fillId="4" borderId="49" applyNumberFormat="1" applyFont="1" applyFill="1" applyBorder="1" applyAlignment="1" applyProtection="0">
      <alignment horizontal="left" vertical="center"/>
    </xf>
    <xf numFmtId="1" fontId="22" fillId="30" borderId="49" applyNumberFormat="1" applyFont="1" applyFill="1" applyBorder="1" applyAlignment="1" applyProtection="0">
      <alignment horizontal="center" vertical="center"/>
    </xf>
    <xf numFmtId="0" fontId="0" fillId="4" borderId="103" applyNumberFormat="0" applyFont="1" applyFill="1" applyBorder="1" applyAlignment="1" applyProtection="0">
      <alignment horizontal="center" vertical="center" wrapText="1"/>
    </xf>
    <xf numFmtId="9" fontId="22" fillId="30" borderId="85" applyNumberFormat="1" applyFont="1" applyFill="1" applyBorder="1" applyAlignment="1" applyProtection="0">
      <alignment horizontal="right" vertical="center"/>
    </xf>
    <xf numFmtId="49" fontId="0" fillId="30" borderId="87" applyNumberFormat="1" applyFont="1" applyFill="1" applyBorder="1" applyAlignment="1" applyProtection="0">
      <alignment horizontal="left" vertical="center"/>
    </xf>
    <xf numFmtId="0" fontId="0" fillId="4" borderId="102" applyNumberFormat="0" applyFont="1" applyFill="1" applyBorder="1" applyAlignment="1" applyProtection="0">
      <alignment horizontal="center" vertical="center" wrapText="1"/>
    </xf>
    <xf numFmtId="0" fontId="0" borderId="97" applyNumberFormat="0" applyFont="1" applyFill="0" applyBorder="1" applyAlignment="1" applyProtection="0">
      <alignment vertical="bottom"/>
    </xf>
    <xf numFmtId="0" fontId="0" borderId="88" applyNumberFormat="0" applyFont="1" applyFill="0" applyBorder="1" applyAlignment="1" applyProtection="0">
      <alignment vertical="bottom"/>
    </xf>
    <xf numFmtId="49" fontId="22" fillId="4" borderId="92" applyNumberFormat="1" applyFont="1" applyFill="1" applyBorder="1" applyAlignment="1" applyProtection="0">
      <alignment horizontal="center" vertical="center"/>
    </xf>
    <xf numFmtId="49" fontId="22" fillId="4" borderId="98" applyNumberFormat="1" applyFont="1" applyFill="1" applyBorder="1" applyAlignment="1" applyProtection="0">
      <alignment horizontal="center" vertical="center"/>
    </xf>
    <xf numFmtId="0" fontId="22" fillId="4" borderId="99" applyNumberFormat="0" applyFont="1" applyFill="1" applyBorder="1" applyAlignment="1" applyProtection="0">
      <alignment horizontal="center" vertical="center"/>
    </xf>
    <xf numFmtId="0" fontId="22" fillId="4" borderId="100" applyNumberFormat="0" applyFont="1" applyFill="1" applyBorder="1" applyAlignment="1" applyProtection="0">
      <alignment horizontal="center" vertical="center"/>
    </xf>
    <xf numFmtId="49" fontId="22" fillId="4" borderId="101" applyNumberFormat="1" applyFont="1" applyFill="1" applyBorder="1" applyAlignment="1" applyProtection="0">
      <alignment horizontal="center" vertical="center"/>
    </xf>
    <xf numFmtId="49" fontId="0" fillId="26" borderId="90" applyNumberFormat="1" applyFont="1" applyFill="1" applyBorder="1" applyAlignment="1" applyProtection="0">
      <alignment horizontal="left" vertical="center" wrapText="1"/>
    </xf>
    <xf numFmtId="0" fontId="0" fillId="26" borderId="88" applyNumberFormat="0" applyFont="1" applyFill="1" applyBorder="1" applyAlignment="1" applyProtection="0">
      <alignment horizontal="left" vertical="center" wrapText="1"/>
    </xf>
    <xf numFmtId="0" fontId="0" fillId="26" borderId="91" applyNumberFormat="0" applyFont="1" applyFill="1" applyBorder="1" applyAlignment="1" applyProtection="0">
      <alignment horizontal="left" vertical="center" wrapText="1"/>
    </xf>
    <xf numFmtId="49" fontId="0" fillId="26" borderId="97" applyNumberFormat="1" applyFont="1" applyFill="1" applyBorder="1" applyAlignment="1" applyProtection="0">
      <alignment vertical="bottom"/>
    </xf>
    <xf numFmtId="0" fontId="0" fillId="26" borderId="9" applyNumberFormat="0" applyFont="1" applyFill="1" applyBorder="1" applyAlignment="1" applyProtection="0">
      <alignment vertical="bottom"/>
    </xf>
    <xf numFmtId="0" fontId="0" fillId="26" borderId="104" applyNumberFormat="0" applyFont="1" applyFill="1" applyBorder="1" applyAlignment="1" applyProtection="0">
      <alignment vertical="bottom"/>
    </xf>
    <xf numFmtId="49" fontId="0" fillId="26" borderId="93" applyNumberFormat="1" applyFont="1" applyFill="1" applyBorder="1" applyAlignment="1" applyProtection="0">
      <alignment vertical="bottom"/>
    </xf>
    <xf numFmtId="0" fontId="0" fillId="26" borderId="82" applyNumberFormat="0" applyFont="1" applyFill="1" applyBorder="1" applyAlignment="1" applyProtection="0">
      <alignment vertical="bottom"/>
    </xf>
    <xf numFmtId="0" fontId="0" fillId="26" borderId="94" applyNumberFormat="0" applyFont="1" applyFill="1" applyBorder="1" applyAlignment="1" applyProtection="0">
      <alignment vertical="bottom"/>
    </xf>
    <xf numFmtId="0" fontId="0" borderId="105" applyNumberFormat="0" applyFont="1" applyFill="0" applyBorder="1" applyAlignment="1" applyProtection="0">
      <alignment vertical="bottom"/>
    </xf>
    <xf numFmtId="0" fontId="0" applyNumberFormat="1" applyFont="1" applyFill="0" applyBorder="0" applyAlignment="1" applyProtection="0">
      <alignment vertical="bottom"/>
    </xf>
    <xf numFmtId="0" fontId="0" borderId="106" applyNumberFormat="0" applyFont="1" applyFill="0" applyBorder="1" applyAlignment="1" applyProtection="0">
      <alignment vertical="bottom"/>
    </xf>
    <xf numFmtId="49" fontId="46" borderId="106" applyNumberFormat="1" applyFont="1" applyFill="0" applyBorder="1" applyAlignment="1" applyProtection="0">
      <alignment vertical="bottom"/>
    </xf>
    <xf numFmtId="0" fontId="46" borderId="106" applyNumberFormat="0" applyFont="1" applyFill="0" applyBorder="1" applyAlignment="1" applyProtection="0">
      <alignment vertical="bottom"/>
    </xf>
    <xf numFmtId="0" fontId="44" borderId="106" applyNumberFormat="0" applyFont="1" applyFill="0" applyBorder="1" applyAlignment="1" applyProtection="0">
      <alignment vertical="bottom"/>
    </xf>
    <xf numFmtId="0" fontId="15" borderId="106" applyNumberFormat="0" applyFont="1" applyFill="0" applyBorder="1" applyAlignment="1" applyProtection="0">
      <alignment vertical="bottom"/>
    </xf>
    <xf numFmtId="0" fontId="0" borderId="107" applyNumberFormat="0" applyFont="1" applyFill="0" applyBorder="1" applyAlignment="1" applyProtection="0">
      <alignment vertical="bottom"/>
    </xf>
    <xf numFmtId="0" fontId="15" borderId="107" applyNumberFormat="0" applyFont="1" applyFill="0" applyBorder="1" applyAlignment="1" applyProtection="0">
      <alignment vertical="bottom"/>
    </xf>
    <xf numFmtId="60" fontId="0" borderId="107" applyNumberFormat="1" applyFont="1" applyFill="0" applyBorder="1" applyAlignment="1" applyProtection="0">
      <alignment vertical="bottom"/>
    </xf>
    <xf numFmtId="0" fontId="0" borderId="108" applyNumberFormat="0" applyFont="1" applyFill="0" applyBorder="1" applyAlignment="1" applyProtection="0">
      <alignment vertical="bottom"/>
    </xf>
    <xf numFmtId="0" fontId="0" fillId="4" borderId="108" applyNumberFormat="0" applyFont="1" applyFill="1" applyBorder="1" applyAlignment="1" applyProtection="0">
      <alignment horizontal="center" vertical="center" wrapText="1"/>
    </xf>
    <xf numFmtId="0" fontId="42" borderId="108" applyNumberFormat="0" applyFont="1" applyFill="0" applyBorder="1" applyAlignment="1" applyProtection="0">
      <alignment vertical="bottom"/>
    </xf>
    <xf numFmtId="0" fontId="0" borderId="109" applyNumberFormat="0" applyFont="1" applyFill="0" applyBorder="1" applyAlignment="1" applyProtection="0">
      <alignment vertical="bottom"/>
    </xf>
    <xf numFmtId="49" fontId="22" fillId="31" borderId="82" applyNumberFormat="1" applyFont="1" applyFill="1" applyBorder="1" applyAlignment="1" applyProtection="0">
      <alignment vertical="bottom"/>
    </xf>
    <xf numFmtId="0" fontId="0" fillId="31" borderId="82" applyNumberFormat="0" applyFont="1" applyFill="1" applyBorder="1" applyAlignment="1" applyProtection="0">
      <alignment vertical="bottom"/>
    </xf>
    <xf numFmtId="0" fontId="15" fillId="31" borderId="82" applyNumberFormat="0" applyFont="1" applyFill="1" applyBorder="1" applyAlignment="1" applyProtection="0">
      <alignment vertical="bottom"/>
    </xf>
    <xf numFmtId="60" fontId="0" fillId="31" borderId="82" applyNumberFormat="1" applyFont="1" applyFill="1" applyBorder="1" applyAlignment="1" applyProtection="0">
      <alignment vertical="bottom"/>
    </xf>
    <xf numFmtId="0" fontId="0" fillId="31" borderId="110" applyNumberFormat="0" applyFont="1" applyFill="1" applyBorder="1" applyAlignment="1" applyProtection="0">
      <alignment vertical="bottom"/>
    </xf>
    <xf numFmtId="49" fontId="22" fillId="32" borderId="111" applyNumberFormat="1" applyFont="1" applyFill="1" applyBorder="1" applyAlignment="1" applyProtection="0">
      <alignment vertical="bottom"/>
    </xf>
    <xf numFmtId="0" fontId="22" fillId="32" borderId="82" applyNumberFormat="0" applyFont="1" applyFill="1" applyBorder="1" applyAlignment="1" applyProtection="0">
      <alignment vertical="bottom"/>
    </xf>
    <xf numFmtId="0" fontId="15" fillId="32" borderId="82" applyNumberFormat="0" applyFont="1" applyFill="1" applyBorder="1" applyAlignment="1" applyProtection="0">
      <alignment vertical="bottom"/>
    </xf>
    <xf numFmtId="0" fontId="0" fillId="32" borderId="82" applyNumberFormat="0" applyFont="1" applyFill="1" applyBorder="1" applyAlignment="1" applyProtection="0">
      <alignment vertical="bottom"/>
    </xf>
    <xf numFmtId="60" fontId="0" fillId="32" borderId="82" applyNumberFormat="1" applyFont="1" applyFill="1" applyBorder="1" applyAlignment="1" applyProtection="0">
      <alignment vertical="bottom"/>
    </xf>
    <xf numFmtId="0" fontId="0" borderId="112" applyNumberFormat="0" applyFont="1" applyFill="0" applyBorder="1" applyAlignment="1" applyProtection="0">
      <alignment vertical="bottom"/>
    </xf>
    <xf numFmtId="49" fontId="22" borderId="108" applyNumberFormat="1" applyFont="1" applyFill="0" applyBorder="1" applyAlignment="1" applyProtection="0">
      <alignment vertical="bottom"/>
    </xf>
    <xf numFmtId="0" fontId="0" borderId="113" applyNumberFormat="0" applyFont="1" applyFill="0" applyBorder="1" applyAlignment="1" applyProtection="0">
      <alignment vertical="bottom"/>
    </xf>
    <xf numFmtId="49" fontId="0" borderId="49" applyNumberFormat="1" applyFont="1" applyFill="0" applyBorder="1" applyAlignment="1" applyProtection="0">
      <alignment horizontal="center" vertical="bottom"/>
    </xf>
    <xf numFmtId="0" fontId="0" borderId="49" applyNumberFormat="0" applyFont="1" applyFill="0" applyBorder="1" applyAlignment="1" applyProtection="0">
      <alignment horizontal="center" vertical="bottom"/>
    </xf>
    <xf numFmtId="0" fontId="0" borderId="114" applyNumberFormat="0" applyFont="1" applyFill="0" applyBorder="1" applyAlignment="1" applyProtection="0">
      <alignment vertical="bottom"/>
    </xf>
    <xf numFmtId="49" fontId="22" borderId="106" applyNumberFormat="1" applyFont="1" applyFill="0" applyBorder="1" applyAlignment="1" applyProtection="0">
      <alignment vertical="bottom"/>
    </xf>
    <xf numFmtId="0" fontId="0" borderId="115" applyNumberFormat="0" applyFont="1" applyFill="0" applyBorder="1" applyAlignment="1" applyProtection="0">
      <alignment vertical="bottom"/>
    </xf>
    <xf numFmtId="49" fontId="47" fillId="30" borderId="49" applyNumberFormat="1" applyFont="1" applyFill="1" applyBorder="1" applyAlignment="1" applyProtection="0">
      <alignment horizontal="center" vertical="center" wrapText="1"/>
    </xf>
    <xf numFmtId="49" fontId="47" fillId="30" borderId="50" applyNumberFormat="1" applyFont="1" applyFill="1" applyBorder="1" applyAlignment="1" applyProtection="0">
      <alignment horizontal="center" vertical="center" wrapText="1"/>
    </xf>
    <xf numFmtId="49" fontId="47" fillId="30" borderId="51" applyNumberFormat="1" applyFont="1" applyFill="1" applyBorder="1" applyAlignment="1" applyProtection="0">
      <alignment horizontal="center" vertical="center" wrapText="1"/>
    </xf>
    <xf numFmtId="0" fontId="0" borderId="116" applyNumberFormat="0" applyFont="1" applyFill="0" applyBorder="1" applyAlignment="1" applyProtection="0">
      <alignment vertical="bottom"/>
    </xf>
    <xf numFmtId="0" fontId="50" borderId="103" applyNumberFormat="0" applyFont="1" applyFill="0" applyBorder="1" applyAlignment="1" applyProtection="0">
      <alignment horizontal="center" vertical="bottom"/>
    </xf>
    <xf numFmtId="49" fontId="22" fillId="4" borderId="108" applyNumberFormat="1" applyFont="1" applyFill="1" applyBorder="1" applyAlignment="1" applyProtection="0">
      <alignment vertical="bottom"/>
    </xf>
    <xf numFmtId="0" fontId="0" fillId="4" borderId="108" applyNumberFormat="0" applyFont="1" applyFill="1" applyBorder="1" applyAlignment="1" applyProtection="0">
      <alignment vertical="bottom"/>
    </xf>
    <xf numFmtId="0" fontId="0" fillId="4" borderId="106" applyNumberFormat="0" applyFont="1" applyFill="1" applyBorder="1" applyAlignment="1" applyProtection="0">
      <alignment vertical="bottom"/>
    </xf>
    <xf numFmtId="0" fontId="0" borderId="49" applyNumberFormat="1" applyFont="1" applyFill="0" applyBorder="1" applyAlignment="1" applyProtection="0">
      <alignment horizontal="center" vertical="bottom"/>
    </xf>
    <xf numFmtId="49" fontId="0" fillId="4" borderId="49" applyNumberFormat="1" applyFont="1" applyFill="1" applyBorder="1" applyAlignment="1" applyProtection="0">
      <alignment vertical="center" wrapText="1"/>
    </xf>
    <xf numFmtId="0" fontId="0" fillId="4" borderId="49" applyNumberFormat="1" applyFont="1" applyFill="1" applyBorder="1" applyAlignment="1" applyProtection="0">
      <alignment vertical="center" wrapText="1"/>
    </xf>
    <xf numFmtId="2" fontId="0" fillId="4" borderId="49" applyNumberFormat="1" applyFont="1" applyFill="1" applyBorder="1" applyAlignment="1" applyProtection="0">
      <alignment vertical="center" wrapText="1"/>
    </xf>
    <xf numFmtId="60" fontId="0" fillId="4" borderId="49" applyNumberFormat="1" applyFont="1" applyFill="1" applyBorder="1" applyAlignment="1" applyProtection="0">
      <alignment vertical="center" wrapText="1"/>
    </xf>
    <xf numFmtId="0" fontId="0" fillId="4" borderId="49" applyNumberFormat="1" applyFont="1" applyFill="1" applyBorder="1" applyAlignment="1" applyProtection="0">
      <alignment horizontal="center" vertical="center" wrapText="1"/>
    </xf>
    <xf numFmtId="59" fontId="0" fillId="4" borderId="49" applyNumberFormat="1" applyFont="1" applyFill="1" applyBorder="1" applyAlignment="1" applyProtection="0">
      <alignment horizontal="right" vertical="center" wrapText="1"/>
    </xf>
    <xf numFmtId="60" fontId="0" fillId="4" borderId="50" applyNumberFormat="1" applyFont="1" applyFill="1" applyBorder="1" applyAlignment="1" applyProtection="0">
      <alignment vertical="center" wrapText="1"/>
    </xf>
    <xf numFmtId="49" fontId="0" fillId="4" borderId="51" applyNumberFormat="1" applyFont="1" applyFill="1" applyBorder="1" applyAlignment="1" applyProtection="0">
      <alignment vertical="center" wrapText="1"/>
    </xf>
    <xf numFmtId="49" fontId="0" borderId="49" applyNumberFormat="1" applyFont="1" applyFill="0" applyBorder="1" applyAlignment="1" applyProtection="0">
      <alignment vertical="bottom"/>
    </xf>
    <xf numFmtId="2" fontId="0" borderId="49" applyNumberFormat="1" applyFont="1" applyFill="0" applyBorder="1" applyAlignment="1" applyProtection="0">
      <alignment horizontal="center" vertical="bottom"/>
    </xf>
    <xf numFmtId="9" fontId="0" borderId="49" applyNumberFormat="1" applyFont="1" applyFill="0" applyBorder="1" applyAlignment="1" applyProtection="0">
      <alignment horizontal="center" vertical="bottom"/>
    </xf>
    <xf numFmtId="9" fontId="0" fillId="13" borderId="49" applyNumberFormat="1" applyFont="1" applyFill="1" applyBorder="1" applyAlignment="1" applyProtection="0">
      <alignment horizontal="center" vertical="bottom"/>
    </xf>
    <xf numFmtId="60" fontId="51" borderId="103" applyNumberFormat="1" applyFont="1" applyFill="0" applyBorder="1" applyAlignment="1" applyProtection="0">
      <alignment vertical="bottom"/>
    </xf>
    <xf numFmtId="0" fontId="0" borderId="49" applyNumberFormat="1" applyFont="1" applyFill="0" applyBorder="1" applyAlignment="1" applyProtection="0">
      <alignment vertical="bottom"/>
    </xf>
    <xf numFmtId="0" fontId="0" borderId="103" applyNumberFormat="0" applyFont="1" applyFill="0" applyBorder="1" applyAlignment="1" applyProtection="0">
      <alignment vertical="bottom"/>
    </xf>
    <xf numFmtId="2" fontId="0" borderId="106" applyNumberFormat="1" applyFont="1" applyFill="0" applyBorder="1" applyAlignment="1" applyProtection="0">
      <alignment horizontal="center" vertical="bottom"/>
    </xf>
    <xf numFmtId="49" fontId="0" fillId="4" borderId="49" applyNumberFormat="1" applyFont="1" applyFill="1" applyBorder="1" applyAlignment="1" applyProtection="0">
      <alignment horizontal="right" vertical="center" wrapText="1"/>
    </xf>
    <xf numFmtId="49" fontId="0" fillId="4" borderId="50" applyNumberFormat="1" applyFont="1" applyFill="1" applyBorder="1" applyAlignment="1" applyProtection="0">
      <alignment vertical="center" wrapText="1"/>
    </xf>
    <xf numFmtId="60" fontId="0" borderId="106" applyNumberFormat="1" applyFont="1" applyFill="0" applyBorder="1" applyAlignment="1" applyProtection="0">
      <alignment horizontal="center" vertical="bottom"/>
    </xf>
    <xf numFmtId="60" fontId="51" borderId="114" applyNumberFormat="1" applyFont="1" applyFill="0" applyBorder="1" applyAlignment="1" applyProtection="0">
      <alignment vertical="bottom"/>
    </xf>
    <xf numFmtId="0" fontId="0" borderId="117" applyNumberFormat="0" applyFont="1" applyFill="0" applyBorder="1" applyAlignment="1" applyProtection="0">
      <alignment vertical="bottom"/>
    </xf>
    <xf numFmtId="2" fontId="0" borderId="49" applyNumberFormat="1" applyFont="1" applyFill="0" applyBorder="1" applyAlignment="1" applyProtection="0">
      <alignment vertical="bottom"/>
    </xf>
    <xf numFmtId="49" fontId="0" borderId="106" applyNumberFormat="1" applyFont="1" applyFill="0" applyBorder="1" applyAlignment="1" applyProtection="0">
      <alignment vertical="bottom"/>
    </xf>
    <xf numFmtId="2" fontId="0" borderId="106" applyNumberFormat="1" applyFont="1" applyFill="0" applyBorder="1" applyAlignment="1" applyProtection="0">
      <alignment vertical="bottom"/>
    </xf>
    <xf numFmtId="59" fontId="0" borderId="49" applyNumberFormat="1" applyFont="1" applyFill="0" applyBorder="1" applyAlignment="1" applyProtection="0">
      <alignment vertical="bottom"/>
    </xf>
    <xf numFmtId="0" fontId="0" borderId="106" applyNumberFormat="1" applyFont="1" applyFill="0" applyBorder="1" applyAlignment="1" applyProtection="0">
      <alignment vertical="bottom"/>
    </xf>
    <xf numFmtId="0" fontId="0" borderId="99" applyNumberFormat="0" applyFont="1" applyFill="0" applyBorder="1" applyAlignment="1" applyProtection="0">
      <alignment vertical="bottom"/>
    </xf>
    <xf numFmtId="2" fontId="0" borderId="114" applyNumberFormat="1" applyFont="1" applyFill="0" applyBorder="1" applyAlignment="1" applyProtection="0">
      <alignment horizontal="center" vertical="bottom"/>
    </xf>
    <xf numFmtId="9" fontId="15" borderId="114" applyNumberFormat="1" applyFont="1" applyFill="0" applyBorder="1" applyAlignment="1" applyProtection="0">
      <alignment vertical="bottom"/>
    </xf>
    <xf numFmtId="49" fontId="22" borderId="113" applyNumberFormat="1" applyFont="1" applyFill="0" applyBorder="1" applyAlignment="1" applyProtection="0">
      <alignment vertical="bottom"/>
    </xf>
    <xf numFmtId="0" fontId="0" borderId="118" applyNumberFormat="0" applyFont="1" applyFill="0" applyBorder="1" applyAlignment="1" applyProtection="0">
      <alignment vertical="bottom"/>
    </xf>
    <xf numFmtId="0" fontId="52" fillId="4" borderId="106" applyNumberFormat="0" applyFont="1" applyFill="1" applyBorder="1" applyAlignment="1" applyProtection="0">
      <alignment horizontal="center" vertical="top"/>
    </xf>
    <xf numFmtId="9" fontId="0" borderId="106" applyNumberFormat="1" applyFont="1" applyFill="0" applyBorder="1" applyAlignment="1" applyProtection="0">
      <alignment horizontal="center" vertical="bottom"/>
    </xf>
    <xf numFmtId="0" fontId="0" borderId="119" applyNumberFormat="0" applyFont="1" applyFill="0" applyBorder="1" applyAlignment="1" applyProtection="0">
      <alignment vertical="bottom"/>
    </xf>
    <xf numFmtId="49" fontId="0" borderId="120" applyNumberFormat="1" applyFont="1" applyFill="0" applyBorder="1" applyAlignment="1" applyProtection="0">
      <alignment vertical="bottom"/>
    </xf>
    <xf numFmtId="0" fontId="0" applyNumberFormat="1" applyFont="1" applyFill="0" applyBorder="0" applyAlignment="1" applyProtection="0">
      <alignment vertical="bottom"/>
    </xf>
    <xf numFmtId="0" fontId="22" fillId="4" borderId="106" applyNumberFormat="0" applyFont="1" applyFill="1" applyBorder="1" applyAlignment="1" applyProtection="0">
      <alignment vertical="bottom" wrapText="1"/>
    </xf>
    <xf numFmtId="49" fontId="0" fillId="4" borderId="106" applyNumberFormat="1" applyFont="1" applyFill="1" applyBorder="1" applyAlignment="1" applyProtection="0">
      <alignment vertical="bottom"/>
    </xf>
    <xf numFmtId="49" fontId="0" fillId="4" borderId="106" applyNumberFormat="1" applyFont="1" applyFill="1" applyBorder="1" applyAlignment="1" applyProtection="0">
      <alignment horizontal="center" vertical="bottom"/>
    </xf>
    <xf numFmtId="49" fontId="0" borderId="106" applyNumberFormat="1" applyFont="1" applyFill="0" applyBorder="1" applyAlignment="1" applyProtection="0">
      <alignment vertical="bottom" wrapText="1"/>
    </xf>
    <xf numFmtId="0" fontId="0" borderId="106" applyNumberFormat="1" applyFont="1" applyFill="0" applyBorder="1" applyAlignment="1" applyProtection="0">
      <alignment horizontal="right" vertical="bottom"/>
    </xf>
    <xf numFmtId="59" fontId="0" borderId="106" applyNumberFormat="1" applyFont="1" applyFill="0" applyBorder="1" applyAlignment="1" applyProtection="0">
      <alignment vertical="bottom"/>
    </xf>
    <xf numFmtId="0" fontId="0" borderId="106" applyNumberFormat="1" applyFont="1" applyFill="0" applyBorder="1" applyAlignment="1" applyProtection="0">
      <alignment horizontal="center" vertical="bottom"/>
    </xf>
    <xf numFmtId="49" fontId="0" borderId="106" applyNumberFormat="1" applyFont="1" applyFill="0" applyBorder="1" applyAlignment="1" applyProtection="0">
      <alignment horizontal="right" vertical="bottom"/>
    </xf>
    <xf numFmtId="49" fontId="0" borderId="108" applyNumberFormat="1" applyFont="1" applyFill="0" applyBorder="1" applyAlignment="1" applyProtection="0">
      <alignment vertical="bottom"/>
    </xf>
    <xf numFmtId="0" fontId="0" borderId="108" applyNumberFormat="1" applyFont="1" applyFill="0" applyBorder="1" applyAlignment="1" applyProtection="0">
      <alignment vertical="bottom"/>
    </xf>
    <xf numFmtId="49" fontId="0" borderId="117" applyNumberFormat="1" applyFont="1" applyFill="0" applyBorder="1" applyAlignment="1" applyProtection="0">
      <alignment vertical="bottom"/>
    </xf>
    <xf numFmtId="0" fontId="0" borderId="117" applyNumberFormat="1" applyFont="1" applyFill="0" applyBorder="1" applyAlignment="1" applyProtection="0">
      <alignment vertical="bottom"/>
    </xf>
    <xf numFmtId="0" fontId="0" applyNumberFormat="1" applyFont="1" applyFill="0" applyBorder="0" applyAlignment="1" applyProtection="0">
      <alignment vertical="bottom"/>
    </xf>
    <xf numFmtId="0" fontId="0" fillId="4" borderId="107" applyNumberFormat="0" applyFont="1" applyFill="1" applyBorder="1" applyAlignment="1" applyProtection="0">
      <alignment vertical="bottom"/>
    </xf>
    <xf numFmtId="49" fontId="55" borderId="121" applyNumberFormat="1" applyFont="1" applyFill="0" applyBorder="1" applyAlignment="1" applyProtection="0">
      <alignment horizontal="center" vertical="bottom"/>
    </xf>
    <xf numFmtId="0" fontId="55" borderId="121" applyNumberFormat="0" applyFont="1" applyFill="0" applyBorder="1" applyAlignment="1" applyProtection="0">
      <alignment horizontal="center" vertical="bottom"/>
    </xf>
    <xf numFmtId="49" fontId="0" fillId="33" borderId="17" applyNumberFormat="1" applyFont="1" applyFill="1" applyBorder="1" applyAlignment="1" applyProtection="0">
      <alignment vertical="bottom"/>
    </xf>
    <xf numFmtId="49" fontId="0" borderId="122" applyNumberFormat="1" applyFont="1" applyFill="0" applyBorder="1" applyAlignment="1" applyProtection="0">
      <alignment vertical="bottom"/>
    </xf>
    <xf numFmtId="49" fontId="0" fillId="33" borderId="9" applyNumberFormat="1" applyFont="1" applyFill="1" applyBorder="1" applyAlignment="1" applyProtection="0">
      <alignment vertical="bottom" wrapText="1"/>
    </xf>
    <xf numFmtId="49" fontId="0" fillId="33" borderId="18" applyNumberFormat="1" applyFont="1" applyFill="1" applyBorder="1" applyAlignment="1" applyProtection="0">
      <alignment vertical="bottom" wrapText="1"/>
    </xf>
    <xf numFmtId="0" fontId="0" fillId="33" borderId="17" applyNumberFormat="0" applyFont="1" applyFill="1" applyBorder="1" applyAlignment="1" applyProtection="0">
      <alignment vertical="bottom"/>
    </xf>
    <xf numFmtId="0" fontId="0" borderId="9" applyNumberFormat="1" applyFont="1" applyFill="0" applyBorder="1" applyAlignment="1" applyProtection="0">
      <alignment vertical="bottom"/>
    </xf>
    <xf numFmtId="2" fontId="0" borderId="36" applyNumberFormat="1" applyFont="1" applyFill="0" applyBorder="1" applyAlignment="1" applyProtection="0">
      <alignment vertical="bottom"/>
    </xf>
    <xf numFmtId="0" fontId="0" borderId="123" applyNumberFormat="1" applyFont="1" applyFill="0" applyBorder="1" applyAlignment="1" applyProtection="0">
      <alignment vertical="bottom"/>
    </xf>
    <xf numFmtId="0" fontId="0" borderId="123" applyNumberFormat="0" applyFont="1" applyFill="0" applyBorder="1" applyAlignment="1" applyProtection="0">
      <alignment vertical="bottom"/>
    </xf>
    <xf numFmtId="2" fontId="0" borderId="123" applyNumberFormat="1" applyFont="1" applyFill="0" applyBorder="1" applyAlignment="1" applyProtection="0">
      <alignment vertical="bottom"/>
    </xf>
    <xf numFmtId="0" fontId="0" fillId="33" borderId="32" applyNumberFormat="0" applyFont="1" applyFill="1" applyBorder="1" applyAlignment="1" applyProtection="0">
      <alignment vertical="bottom"/>
    </xf>
  </cellXfs>
  <cellStyles count="1">
    <cellStyle name="Normal" xfId="0" builtinId="0"/>
  </cellStyles>
  <dxfs count="5">
    <dxf>
      <font>
        <color rgb="ff000000"/>
      </font>
    </dxf>
    <dxf>
      <font>
        <color rgb="ff000000"/>
      </font>
    </dxf>
    <dxf>
      <font>
        <color rgb="ff000000"/>
      </font>
    </dxf>
    <dxf>
      <font>
        <color rgb="ff000000"/>
      </font>
    </dxf>
    <dxf>
      <fill>
        <patternFill patternType="solid">
          <fgColor indexed="31"/>
          <bgColor indexed="16"/>
        </patternFill>
      </fill>
    </dxf>
  </dxfs>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aaaaaa"/>
      <rgbColor rgb="ff204761"/>
      <rgbColor rgb="ff2a84d5"/>
      <rgbColor rgb="ffff0000"/>
      <rgbColor rgb="ff21af4f"/>
      <rgbColor rgb="ffffd400"/>
      <rgbColor rgb="fffff2cb"/>
      <rgbColor rgb="fff4871f"/>
      <rgbColor rgb="ff00b0f0"/>
      <rgbColor rgb="ff23a373"/>
      <rgbColor rgb="ff269992"/>
      <rgbColor rgb="ff288eb6"/>
      <rgbColor rgb="ffe9f2fb"/>
      <rgbColor rgb="ffd8d8d8"/>
      <rgbColor rgb="ffa5a5a5"/>
      <rgbColor rgb="ffd9dce1"/>
      <rgbColor rgb="ff7f7f7f"/>
      <rgbColor rgb="ff44749f"/>
      <rgbColor rgb="00000000"/>
      <rgbColor rgb="fffbe4d5"/>
      <rgbColor rgb="ff92d050"/>
      <rgbColor rgb="fff7caac"/>
      <rgbColor rgb="fff4b083"/>
      <rgbColor rgb="ffd9e2f3"/>
      <rgbColor rgb="ffb4c6e7"/>
      <rgbColor rgb="ff8eaadb"/>
      <rgbColor rgb="ff0563c1"/>
      <rgbColor rgb="ffbfbfbf"/>
      <rgbColor rgb="ffffe97f"/>
      <rgbColor rgb="ffea94cf"/>
      <rgbColor rgb="fff9c38e"/>
      <rgbColor rgb="ffbf94ea"/>
      <rgbColor rgb="ffe8f7ed"/>
      <rgbColor rgb="ffed7d31"/>
      <rgbColor rgb="ff5b9bd5"/>
      <rgbColor rgb="ff548135"/>
      <rgbColor rgb="fffa7d00"/>
      <rgbColor rgb="ff44546a"/>
      <rgbColor rgb="ffececec"/>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s>

</file>

<file path=xl/drawings/_rels/drawing1.xml.rels><?xml version="1.0" encoding="UTF-8"?>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jpeg"/><Relationship Id="rId4" Type="http://schemas.openxmlformats.org/officeDocument/2006/relationships/image" Target="../media/image4.jpeg"/><Relationship Id="rId5" Type="http://schemas.openxmlformats.org/officeDocument/2006/relationships/image" Target="../media/image5.jpeg"/><Relationship Id="rId6" Type="http://schemas.openxmlformats.org/officeDocument/2006/relationships/image" Target="../media/image6.jpeg"/><Relationship Id="rId7" Type="http://schemas.openxmlformats.org/officeDocument/2006/relationships/image" Target="../media/image7.jpeg"/><Relationship Id="rId8" Type="http://schemas.openxmlformats.org/officeDocument/2006/relationships/image" Target="../media/image8.jpeg"/><Relationship Id="rId9" Type="http://schemas.openxmlformats.org/officeDocument/2006/relationships/image" Target="../media/image9.jpeg"/><Relationship Id="rId10" Type="http://schemas.openxmlformats.org/officeDocument/2006/relationships/image" Target="../media/image10.jpeg"/><Relationship Id="rId11" Type="http://schemas.openxmlformats.org/officeDocument/2006/relationships/image" Target="../media/image11.jpeg"/><Relationship Id="rId12" Type="http://schemas.openxmlformats.org/officeDocument/2006/relationships/image" Target="../media/image12.jpeg"/><Relationship Id="rId13" Type="http://schemas.openxmlformats.org/officeDocument/2006/relationships/image" Target="../media/image13.jpeg"/><Relationship Id="rId14" Type="http://schemas.openxmlformats.org/officeDocument/2006/relationships/image" Target="../media/image14.jpeg"/><Relationship Id="rId15" Type="http://schemas.openxmlformats.org/officeDocument/2006/relationships/image" Target="../media/image15.jpeg"/></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7</xdr:col>
      <xdr:colOff>464819</xdr:colOff>
      <xdr:row>42</xdr:row>
      <xdr:rowOff>58573</xdr:rowOff>
    </xdr:from>
    <xdr:to>
      <xdr:col>7</xdr:col>
      <xdr:colOff>3931919</xdr:colOff>
      <xdr:row>48</xdr:row>
      <xdr:rowOff>2200</xdr:rowOff>
    </xdr:to>
    <xdr:pic>
      <xdr:nvPicPr>
        <xdr:cNvPr id="2" name="Picture 3" descr="Picture 3"/>
        <xdr:cNvPicPr>
          <a:picLocks noChangeAspect="1"/>
        </xdr:cNvPicPr>
      </xdr:nvPicPr>
      <xdr:blipFill>
        <a:blip r:embed="rId1">
          <a:extLst/>
        </a:blip>
        <a:stretch>
          <a:fillRect/>
        </a:stretch>
      </xdr:blipFill>
      <xdr:spPr>
        <a:xfrm>
          <a:off x="8580119" y="8713623"/>
          <a:ext cx="3467101" cy="1899428"/>
        </a:xfrm>
        <a:prstGeom prst="rect">
          <a:avLst/>
        </a:prstGeom>
        <a:ln w="12700" cap="flat">
          <a:noFill/>
          <a:miter lim="400000"/>
        </a:ln>
        <a:effectLst/>
      </xdr:spPr>
    </xdr:pic>
    <xdr:clientData/>
  </xdr:twoCellAnchor>
  <xdr:twoCellAnchor>
    <xdr:from>
      <xdr:col>7</xdr:col>
      <xdr:colOff>1478280</xdr:colOff>
      <xdr:row>52</xdr:row>
      <xdr:rowOff>30478</xdr:rowOff>
    </xdr:from>
    <xdr:to>
      <xdr:col>7</xdr:col>
      <xdr:colOff>3026664</xdr:colOff>
      <xdr:row>53</xdr:row>
      <xdr:rowOff>833435</xdr:rowOff>
    </xdr:to>
    <xdr:pic>
      <xdr:nvPicPr>
        <xdr:cNvPr id="3" name="Picture 9" descr="Picture 9"/>
        <xdr:cNvPicPr>
          <a:picLocks noChangeAspect="1"/>
        </xdr:cNvPicPr>
      </xdr:nvPicPr>
      <xdr:blipFill>
        <a:blip r:embed="rId2">
          <a:extLst/>
        </a:blip>
        <a:stretch>
          <a:fillRect/>
        </a:stretch>
      </xdr:blipFill>
      <xdr:spPr>
        <a:xfrm>
          <a:off x="9593580" y="11835128"/>
          <a:ext cx="1548385" cy="1615758"/>
        </a:xfrm>
        <a:prstGeom prst="rect">
          <a:avLst/>
        </a:prstGeom>
        <a:ln w="12700" cap="flat">
          <a:noFill/>
          <a:miter lim="400000"/>
        </a:ln>
        <a:effectLst/>
      </xdr:spPr>
    </xdr:pic>
    <xdr:clientData/>
  </xdr:twoCellAnchor>
  <xdr:twoCellAnchor>
    <xdr:from>
      <xdr:col>7</xdr:col>
      <xdr:colOff>960119</xdr:colOff>
      <xdr:row>57</xdr:row>
      <xdr:rowOff>220980</xdr:rowOff>
    </xdr:from>
    <xdr:to>
      <xdr:col>7</xdr:col>
      <xdr:colOff>3550919</xdr:colOff>
      <xdr:row>60</xdr:row>
      <xdr:rowOff>693029</xdr:rowOff>
    </xdr:to>
    <xdr:pic>
      <xdr:nvPicPr>
        <xdr:cNvPr id="4" name="Picture 11" descr="Picture 11"/>
        <xdr:cNvPicPr>
          <a:picLocks noChangeAspect="1"/>
        </xdr:cNvPicPr>
      </xdr:nvPicPr>
      <xdr:blipFill>
        <a:blip r:embed="rId3">
          <a:extLst/>
        </a:blip>
        <a:stretch>
          <a:fillRect/>
        </a:stretch>
      </xdr:blipFill>
      <xdr:spPr>
        <a:xfrm>
          <a:off x="9075419" y="14546580"/>
          <a:ext cx="2590801" cy="1919850"/>
        </a:xfrm>
        <a:prstGeom prst="rect">
          <a:avLst/>
        </a:prstGeom>
        <a:ln w="12700" cap="flat">
          <a:noFill/>
          <a:miter lim="400000"/>
        </a:ln>
        <a:effectLst/>
      </xdr:spPr>
    </xdr:pic>
    <xdr:clientData/>
  </xdr:twoCellAnchor>
  <xdr:twoCellAnchor>
    <xdr:from>
      <xdr:col>7</xdr:col>
      <xdr:colOff>1104900</xdr:colOff>
      <xdr:row>65</xdr:row>
      <xdr:rowOff>45719</xdr:rowOff>
    </xdr:from>
    <xdr:to>
      <xdr:col>7</xdr:col>
      <xdr:colOff>3421380</xdr:colOff>
      <xdr:row>69</xdr:row>
      <xdr:rowOff>59405</xdr:rowOff>
    </xdr:to>
    <xdr:pic>
      <xdr:nvPicPr>
        <xdr:cNvPr id="5" name="Picture 15" descr="Picture 15"/>
        <xdr:cNvPicPr>
          <a:picLocks noChangeAspect="1"/>
        </xdr:cNvPicPr>
      </xdr:nvPicPr>
      <xdr:blipFill>
        <a:blip r:embed="rId4">
          <a:extLst/>
        </a:blip>
        <a:stretch>
          <a:fillRect/>
        </a:stretch>
      </xdr:blipFill>
      <xdr:spPr>
        <a:xfrm>
          <a:off x="9220200" y="17562194"/>
          <a:ext cx="2316481" cy="2464787"/>
        </a:xfrm>
        <a:prstGeom prst="rect">
          <a:avLst/>
        </a:prstGeom>
        <a:ln w="12700" cap="flat">
          <a:noFill/>
          <a:miter lim="400000"/>
        </a:ln>
        <a:effectLst/>
      </xdr:spPr>
    </xdr:pic>
    <xdr:clientData/>
  </xdr:twoCellAnchor>
  <xdr:twoCellAnchor>
    <xdr:from>
      <xdr:col>7</xdr:col>
      <xdr:colOff>129540</xdr:colOff>
      <xdr:row>72</xdr:row>
      <xdr:rowOff>30478</xdr:rowOff>
    </xdr:from>
    <xdr:to>
      <xdr:col>7</xdr:col>
      <xdr:colOff>3985259</xdr:colOff>
      <xdr:row>78</xdr:row>
      <xdr:rowOff>273229</xdr:rowOff>
    </xdr:to>
    <xdr:pic>
      <xdr:nvPicPr>
        <xdr:cNvPr id="6" name="Picture 4" descr="Picture 4"/>
        <xdr:cNvPicPr>
          <a:picLocks noChangeAspect="1"/>
        </xdr:cNvPicPr>
      </xdr:nvPicPr>
      <xdr:blipFill>
        <a:blip r:embed="rId5">
          <a:extLst/>
        </a:blip>
        <a:stretch>
          <a:fillRect/>
        </a:stretch>
      </xdr:blipFill>
      <xdr:spPr>
        <a:xfrm>
          <a:off x="8244840" y="20731478"/>
          <a:ext cx="3855720" cy="2036627"/>
        </a:xfrm>
        <a:prstGeom prst="rect">
          <a:avLst/>
        </a:prstGeom>
        <a:ln w="12700" cap="flat">
          <a:noFill/>
          <a:miter lim="400000"/>
        </a:ln>
        <a:effectLst/>
      </xdr:spPr>
    </xdr:pic>
    <xdr:clientData/>
  </xdr:twoCellAnchor>
  <xdr:twoCellAnchor>
    <xdr:from>
      <xdr:col>7</xdr:col>
      <xdr:colOff>1341119</xdr:colOff>
      <xdr:row>87</xdr:row>
      <xdr:rowOff>30480</xdr:rowOff>
    </xdr:from>
    <xdr:to>
      <xdr:col>7</xdr:col>
      <xdr:colOff>3352800</xdr:colOff>
      <xdr:row>92</xdr:row>
      <xdr:rowOff>178758</xdr:rowOff>
    </xdr:to>
    <xdr:pic>
      <xdr:nvPicPr>
        <xdr:cNvPr id="7" name="Picture 10" descr="Picture 10"/>
        <xdr:cNvPicPr>
          <a:picLocks noChangeAspect="1"/>
        </xdr:cNvPicPr>
      </xdr:nvPicPr>
      <xdr:blipFill>
        <a:blip r:embed="rId6">
          <a:extLst/>
        </a:blip>
        <a:stretch>
          <a:fillRect/>
        </a:stretch>
      </xdr:blipFill>
      <xdr:spPr>
        <a:xfrm>
          <a:off x="9456419" y="25595580"/>
          <a:ext cx="2011681" cy="1253179"/>
        </a:xfrm>
        <a:prstGeom prst="rect">
          <a:avLst/>
        </a:prstGeom>
        <a:ln w="12700" cap="flat">
          <a:noFill/>
          <a:miter lim="400000"/>
        </a:ln>
        <a:effectLst/>
      </xdr:spPr>
    </xdr:pic>
    <xdr:clientData/>
  </xdr:twoCellAnchor>
  <xdr:twoCellAnchor>
    <xdr:from>
      <xdr:col>7</xdr:col>
      <xdr:colOff>1394459</xdr:colOff>
      <xdr:row>97</xdr:row>
      <xdr:rowOff>22860</xdr:rowOff>
    </xdr:from>
    <xdr:to>
      <xdr:col>7</xdr:col>
      <xdr:colOff>2494898</xdr:colOff>
      <xdr:row>102</xdr:row>
      <xdr:rowOff>186360</xdr:rowOff>
    </xdr:to>
    <xdr:pic>
      <xdr:nvPicPr>
        <xdr:cNvPr id="8" name="Picture 16" descr="Picture 16"/>
        <xdr:cNvPicPr>
          <a:picLocks noChangeAspect="1"/>
        </xdr:cNvPicPr>
      </xdr:nvPicPr>
      <xdr:blipFill>
        <a:blip r:embed="rId7">
          <a:extLst/>
        </a:blip>
        <a:stretch>
          <a:fillRect/>
        </a:stretch>
      </xdr:blipFill>
      <xdr:spPr>
        <a:xfrm>
          <a:off x="9509759" y="27658060"/>
          <a:ext cx="1100440" cy="1147751"/>
        </a:xfrm>
        <a:prstGeom prst="rect">
          <a:avLst/>
        </a:prstGeom>
        <a:ln w="12700" cap="flat">
          <a:noFill/>
          <a:miter lim="400000"/>
        </a:ln>
        <a:effectLst/>
      </xdr:spPr>
    </xdr:pic>
    <xdr:clientData/>
  </xdr:twoCellAnchor>
  <xdr:twoCellAnchor>
    <xdr:from>
      <xdr:col>7</xdr:col>
      <xdr:colOff>2606040</xdr:colOff>
      <xdr:row>99</xdr:row>
      <xdr:rowOff>99060</xdr:rowOff>
    </xdr:from>
    <xdr:to>
      <xdr:col>7</xdr:col>
      <xdr:colOff>3705209</xdr:colOff>
      <xdr:row>100</xdr:row>
      <xdr:rowOff>138410</xdr:rowOff>
    </xdr:to>
    <xdr:pic>
      <xdr:nvPicPr>
        <xdr:cNvPr id="9" name="Picture 18" descr="Picture 18"/>
        <xdr:cNvPicPr>
          <a:picLocks noChangeAspect="1"/>
        </xdr:cNvPicPr>
      </xdr:nvPicPr>
      <xdr:blipFill>
        <a:blip r:embed="rId8">
          <a:extLst/>
        </a:blip>
        <a:stretch>
          <a:fillRect/>
        </a:stretch>
      </xdr:blipFill>
      <xdr:spPr>
        <a:xfrm>
          <a:off x="10721340" y="28115260"/>
          <a:ext cx="1099170" cy="261601"/>
        </a:xfrm>
        <a:prstGeom prst="rect">
          <a:avLst/>
        </a:prstGeom>
        <a:ln w="12700" cap="flat">
          <a:noFill/>
          <a:miter lim="400000"/>
        </a:ln>
        <a:effectLst/>
      </xdr:spPr>
    </xdr:pic>
    <xdr:clientData/>
  </xdr:twoCellAnchor>
  <xdr:twoCellAnchor>
    <xdr:from>
      <xdr:col>7</xdr:col>
      <xdr:colOff>2331719</xdr:colOff>
      <xdr:row>179</xdr:row>
      <xdr:rowOff>15240</xdr:rowOff>
    </xdr:from>
    <xdr:to>
      <xdr:col>8</xdr:col>
      <xdr:colOff>75590</xdr:colOff>
      <xdr:row>188</xdr:row>
      <xdr:rowOff>164772</xdr:rowOff>
    </xdr:to>
    <xdr:pic>
      <xdr:nvPicPr>
        <xdr:cNvPr id="10" name="Picture 31" descr="Picture 31"/>
        <xdr:cNvPicPr>
          <a:picLocks noChangeAspect="1"/>
        </xdr:cNvPicPr>
      </xdr:nvPicPr>
      <xdr:blipFill>
        <a:blip r:embed="rId9">
          <a:extLst/>
        </a:blip>
        <a:srcRect l="12943" t="6652" r="0" b="30641"/>
        <a:stretch>
          <a:fillRect/>
        </a:stretch>
      </xdr:blipFill>
      <xdr:spPr>
        <a:xfrm>
          <a:off x="10447018" y="47046515"/>
          <a:ext cx="2760373" cy="1864033"/>
        </a:xfrm>
        <a:prstGeom prst="rect">
          <a:avLst/>
        </a:prstGeom>
        <a:ln w="12700" cap="flat">
          <a:noFill/>
          <a:miter lim="400000"/>
        </a:ln>
        <a:effectLst/>
      </xdr:spPr>
    </xdr:pic>
    <xdr:clientData/>
  </xdr:twoCellAnchor>
  <xdr:twoCellAnchor>
    <xdr:from>
      <xdr:col>6</xdr:col>
      <xdr:colOff>83818</xdr:colOff>
      <xdr:row>179</xdr:row>
      <xdr:rowOff>7620</xdr:rowOff>
    </xdr:from>
    <xdr:to>
      <xdr:col>7</xdr:col>
      <xdr:colOff>2256434</xdr:colOff>
      <xdr:row>188</xdr:row>
      <xdr:rowOff>165372</xdr:rowOff>
    </xdr:to>
    <xdr:pic>
      <xdr:nvPicPr>
        <xdr:cNvPr id="11" name="Picture 33" descr="Picture 33"/>
        <xdr:cNvPicPr>
          <a:picLocks noChangeAspect="1"/>
        </xdr:cNvPicPr>
      </xdr:nvPicPr>
      <xdr:blipFill>
        <a:blip r:embed="rId10">
          <a:extLst/>
        </a:blip>
        <a:srcRect l="12785" t="6190" r="0" b="30105"/>
        <a:stretch>
          <a:fillRect/>
        </a:stretch>
      </xdr:blipFill>
      <xdr:spPr>
        <a:xfrm>
          <a:off x="8072118" y="47038895"/>
          <a:ext cx="2299617" cy="1872253"/>
        </a:xfrm>
        <a:prstGeom prst="rect">
          <a:avLst/>
        </a:prstGeom>
        <a:ln w="12700" cap="flat">
          <a:noFill/>
          <a:miter lim="400000"/>
        </a:ln>
        <a:effectLst/>
      </xdr:spPr>
    </xdr:pic>
    <xdr:clientData/>
  </xdr:twoCellAnchor>
  <xdr:twoCellAnchor>
    <xdr:from>
      <xdr:col>6</xdr:col>
      <xdr:colOff>22859</xdr:colOff>
      <xdr:row>106</xdr:row>
      <xdr:rowOff>53339</xdr:rowOff>
    </xdr:from>
    <xdr:to>
      <xdr:col>8</xdr:col>
      <xdr:colOff>77519</xdr:colOff>
      <xdr:row>115</xdr:row>
      <xdr:rowOff>1661</xdr:rowOff>
    </xdr:to>
    <xdr:pic>
      <xdr:nvPicPr>
        <xdr:cNvPr id="12" name="Picture 8" descr="Picture 8"/>
        <xdr:cNvPicPr>
          <a:picLocks noChangeAspect="1"/>
        </xdr:cNvPicPr>
      </xdr:nvPicPr>
      <xdr:blipFill>
        <a:blip r:embed="rId11">
          <a:extLst/>
        </a:blip>
        <a:stretch>
          <a:fillRect/>
        </a:stretch>
      </xdr:blipFill>
      <xdr:spPr>
        <a:xfrm>
          <a:off x="8011159" y="30285689"/>
          <a:ext cx="5198161" cy="1662823"/>
        </a:xfrm>
        <a:prstGeom prst="rect">
          <a:avLst/>
        </a:prstGeom>
        <a:ln w="12700" cap="flat">
          <a:noFill/>
          <a:miter lim="400000"/>
        </a:ln>
        <a:effectLst/>
      </xdr:spPr>
    </xdr:pic>
    <xdr:clientData/>
  </xdr:twoCellAnchor>
  <xdr:twoCellAnchor>
    <xdr:from>
      <xdr:col>7</xdr:col>
      <xdr:colOff>739140</xdr:colOff>
      <xdr:row>161</xdr:row>
      <xdr:rowOff>37830</xdr:rowOff>
    </xdr:from>
    <xdr:to>
      <xdr:col>7</xdr:col>
      <xdr:colOff>3787140</xdr:colOff>
      <xdr:row>174</xdr:row>
      <xdr:rowOff>155109</xdr:rowOff>
    </xdr:to>
    <xdr:pic>
      <xdr:nvPicPr>
        <xdr:cNvPr id="13" name="Picture 13" descr="Picture 13"/>
        <xdr:cNvPicPr>
          <a:picLocks noChangeAspect="1"/>
        </xdr:cNvPicPr>
      </xdr:nvPicPr>
      <xdr:blipFill>
        <a:blip r:embed="rId12">
          <a:extLst/>
        </a:blip>
        <a:stretch>
          <a:fillRect/>
        </a:stretch>
      </xdr:blipFill>
      <xdr:spPr>
        <a:xfrm>
          <a:off x="8854440" y="43589305"/>
          <a:ext cx="3048001" cy="2593780"/>
        </a:xfrm>
        <a:prstGeom prst="rect">
          <a:avLst/>
        </a:prstGeom>
        <a:ln w="12700" cap="flat">
          <a:noFill/>
          <a:miter lim="400000"/>
        </a:ln>
        <a:effectLst/>
      </xdr:spPr>
    </xdr:pic>
    <xdr:clientData/>
  </xdr:twoCellAnchor>
  <xdr:twoCellAnchor>
    <xdr:from>
      <xdr:col>7</xdr:col>
      <xdr:colOff>1135381</xdr:colOff>
      <xdr:row>192</xdr:row>
      <xdr:rowOff>60960</xdr:rowOff>
    </xdr:from>
    <xdr:to>
      <xdr:col>7</xdr:col>
      <xdr:colOff>3291841</xdr:colOff>
      <xdr:row>208</xdr:row>
      <xdr:rowOff>141523</xdr:rowOff>
    </xdr:to>
    <xdr:pic>
      <xdr:nvPicPr>
        <xdr:cNvPr id="14" name="Picture 17" descr="Picture 17"/>
        <xdr:cNvPicPr>
          <a:picLocks noChangeAspect="1"/>
        </xdr:cNvPicPr>
      </xdr:nvPicPr>
      <xdr:blipFill>
        <a:blip r:embed="rId13">
          <a:extLst/>
        </a:blip>
        <a:stretch>
          <a:fillRect/>
        </a:stretch>
      </xdr:blipFill>
      <xdr:spPr>
        <a:xfrm>
          <a:off x="9250681" y="49606835"/>
          <a:ext cx="2156460" cy="3128564"/>
        </a:xfrm>
        <a:prstGeom prst="rect">
          <a:avLst/>
        </a:prstGeom>
        <a:ln w="12700" cap="flat">
          <a:noFill/>
          <a:miter lim="400000"/>
        </a:ln>
        <a:effectLst/>
      </xdr:spPr>
    </xdr:pic>
    <xdr:clientData/>
  </xdr:twoCellAnchor>
  <xdr:twoCellAnchor>
    <xdr:from>
      <xdr:col>7</xdr:col>
      <xdr:colOff>746759</xdr:colOff>
      <xdr:row>131</xdr:row>
      <xdr:rowOff>0</xdr:rowOff>
    </xdr:from>
    <xdr:to>
      <xdr:col>7</xdr:col>
      <xdr:colOff>3806760</xdr:colOff>
      <xdr:row>144</xdr:row>
      <xdr:rowOff>122222</xdr:rowOff>
    </xdr:to>
    <xdr:pic>
      <xdr:nvPicPr>
        <xdr:cNvPr id="15" name="Picture 20" descr="Picture 20"/>
        <xdr:cNvPicPr>
          <a:picLocks noChangeAspect="1"/>
        </xdr:cNvPicPr>
      </xdr:nvPicPr>
      <xdr:blipFill>
        <a:blip r:embed="rId14">
          <a:extLst/>
        </a:blip>
        <a:stretch>
          <a:fillRect/>
        </a:stretch>
      </xdr:blipFill>
      <xdr:spPr>
        <a:xfrm>
          <a:off x="8862059" y="37331650"/>
          <a:ext cx="3060001" cy="2598722"/>
        </a:xfrm>
        <a:prstGeom prst="rect">
          <a:avLst/>
        </a:prstGeom>
        <a:ln w="12700" cap="flat">
          <a:noFill/>
          <a:miter lim="400000"/>
        </a:ln>
        <a:effectLst/>
      </xdr:spPr>
    </xdr:pic>
    <xdr:clientData/>
  </xdr:twoCellAnchor>
  <xdr:twoCellAnchor>
    <xdr:from>
      <xdr:col>7</xdr:col>
      <xdr:colOff>744360</xdr:colOff>
      <xdr:row>146</xdr:row>
      <xdr:rowOff>35700</xdr:rowOff>
    </xdr:from>
    <xdr:to>
      <xdr:col>7</xdr:col>
      <xdr:colOff>3840360</xdr:colOff>
      <xdr:row>157</xdr:row>
      <xdr:rowOff>195997</xdr:rowOff>
    </xdr:to>
    <xdr:pic>
      <xdr:nvPicPr>
        <xdr:cNvPr id="16" name="Picture 23" descr="Picture 23"/>
        <xdr:cNvPicPr>
          <a:picLocks noChangeAspect="1"/>
        </xdr:cNvPicPr>
      </xdr:nvPicPr>
      <xdr:blipFill>
        <a:blip r:embed="rId15">
          <a:extLst/>
        </a:blip>
        <a:stretch>
          <a:fillRect/>
        </a:stretch>
      </xdr:blipFill>
      <xdr:spPr>
        <a:xfrm>
          <a:off x="8859659" y="40237550"/>
          <a:ext cx="3096002" cy="2255798"/>
        </a:xfrm>
        <a:prstGeom prst="rect">
          <a:avLst/>
        </a:prstGeom>
        <a:ln w="12700" cap="flat">
          <a:noFill/>
          <a:miter lim="400000"/>
        </a:ln>
        <a:effectLst/>
      </xdr:spPr>
    </xdr:pic>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drawings/drawing3.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drawings/drawing4.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drawings/drawing5.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3.xml.rels><?xml version="1.0" encoding="UTF-8"?>
<Relationships xmlns="http://schemas.openxmlformats.org/package/2006/relationships"><Relationship Id="rId1" Type="http://schemas.openxmlformats.org/officeDocument/2006/relationships/drawing" Target="../drawings/drawing1.xml"/></Relationships>

</file>

<file path=xl/worksheets/_rels/sheet4.xml.rels><?xml version="1.0" encoding="UTF-8"?>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5.xml.rels><?xml version="1.0" encoding="UTF-8"?>
<Relationships xmlns="http://schemas.openxmlformats.org/package/2006/relationships"><Relationship Id="rId1" Type="http://schemas.openxmlformats.org/officeDocument/2006/relationships/hyperlink" Target="mailto:admin@futurehomes.org.uk" TargetMode="External"/><Relationship Id="rId2" Type="http://schemas.openxmlformats.org/officeDocument/2006/relationships/drawing" Target="../drawings/drawing3.xml"/><Relationship Id="rId3" Type="http://schemas.openxmlformats.org/officeDocument/2006/relationships/vmlDrawing" Target="../drawings/vmlDrawing2.vml"/><Relationship Id="rId4" Type="http://schemas.openxmlformats.org/officeDocument/2006/relationships/comments" Target="../comments2.xml"/></Relationships>

</file>

<file path=xl/worksheets/_rels/sheet8.xml.rels><?xml version="1.0" encoding="UTF-8"?>
<Relationships xmlns="http://schemas.openxmlformats.org/package/2006/relationships"><Relationship Id="rId1" Type="http://schemas.openxmlformats.org/officeDocument/2006/relationships/drawing" Target="../drawings/drawing4.xml"/><Relationship Id="rId2" Type="http://schemas.openxmlformats.org/officeDocument/2006/relationships/vmlDrawing" Target="../drawings/vmlDrawing3.vml"/><Relationship Id="rId3" Type="http://schemas.openxmlformats.org/officeDocument/2006/relationships/comments" Target="../comments3.xml"/></Relationships>

</file>

<file path=xl/worksheets/_rels/sheet9.xml.rels><?xml version="1.0" encoding="UTF-8"?>
<Relationships xmlns="http://schemas.openxmlformats.org/package/2006/relationships"><Relationship Id="rId1" Type="http://schemas.openxmlformats.org/officeDocument/2006/relationships/drawing" Target="../drawings/drawing5.xml"/><Relationship Id="rId2" Type="http://schemas.openxmlformats.org/officeDocument/2006/relationships/vmlDrawing" Target="../drawings/vmlDrawing4.vml"/><Relationship Id="rId3" Type="http://schemas.openxmlformats.org/officeDocument/2006/relationships/comments" Target="../comments4.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0.05" customHeight="1">
      <c r="B3" t="s" s="1">
        <v>0</v>
      </c>
      <c r="C3"/>
      <c r="D3"/>
    </row>
    <row r="7">
      <c r="B7" t="s" s="2">
        <v>1</v>
      </c>
      <c r="C7" t="s" s="2">
        <v>2</v>
      </c>
      <c r="D7" t="s" s="2">
        <v>3</v>
      </c>
    </row>
    <row r="9">
      <c r="B9" t="s" s="3">
        <v>4</v>
      </c>
      <c r="C9" s="3"/>
      <c r="D9" s="3"/>
    </row>
    <row r="10">
      <c r="B10" s="4"/>
      <c r="C10" t="s" s="4">
        <v>5</v>
      </c>
      <c r="D10" t="s" s="5">
        <v>4</v>
      </c>
    </row>
    <row r="11">
      <c r="B11" t="s" s="3">
        <v>19</v>
      </c>
      <c r="C11" s="3"/>
      <c r="D11" s="3"/>
    </row>
    <row r="12">
      <c r="B12" s="4"/>
      <c r="C12" t="s" s="4">
        <v>5</v>
      </c>
      <c r="D12" t="s" s="5">
        <v>19</v>
      </c>
    </row>
    <row r="13">
      <c r="B13" t="s" s="3">
        <v>131</v>
      </c>
      <c r="C13" s="3"/>
      <c r="D13" s="3"/>
    </row>
    <row r="14">
      <c r="B14" s="4"/>
      <c r="C14" t="s" s="4">
        <v>5</v>
      </c>
      <c r="D14" t="s" s="5">
        <v>131</v>
      </c>
    </row>
    <row r="15">
      <c r="B15" t="s" s="3">
        <v>224</v>
      </c>
      <c r="C15" s="3"/>
      <c r="D15" s="3"/>
    </row>
    <row r="16">
      <c r="B16" s="4"/>
      <c r="C16" t="s" s="4">
        <v>5</v>
      </c>
      <c r="D16" t="s" s="5">
        <v>224</v>
      </c>
    </row>
    <row r="17">
      <c r="B17" t="s" s="3">
        <v>279</v>
      </c>
      <c r="C17" s="3"/>
      <c r="D17" s="3"/>
    </row>
    <row r="18">
      <c r="B18" s="4"/>
      <c r="C18" t="s" s="4">
        <v>5</v>
      </c>
      <c r="D18" t="s" s="5">
        <v>279</v>
      </c>
    </row>
    <row r="19">
      <c r="B19" t="s" s="3">
        <v>338</v>
      </c>
      <c r="C19" s="3"/>
      <c r="D19" s="3"/>
    </row>
    <row r="20">
      <c r="B20" s="4"/>
      <c r="C20" t="s" s="4">
        <v>5</v>
      </c>
      <c r="D20" t="s" s="5">
        <v>338</v>
      </c>
    </row>
    <row r="21">
      <c r="B21" t="s" s="3">
        <v>364</v>
      </c>
      <c r="C21" s="3"/>
      <c r="D21" s="3"/>
    </row>
    <row r="22">
      <c r="B22" s="4"/>
      <c r="C22" t="s" s="4">
        <v>5</v>
      </c>
      <c r="D22" t="s" s="5">
        <v>364</v>
      </c>
    </row>
    <row r="23">
      <c r="B23" t="s" s="3">
        <v>453</v>
      </c>
      <c r="C23" s="3"/>
      <c r="D23" s="3"/>
    </row>
    <row r="24">
      <c r="B24" s="4"/>
      <c r="C24" t="s" s="4">
        <v>5</v>
      </c>
      <c r="D24" t="s" s="5">
        <v>453</v>
      </c>
    </row>
    <row r="25">
      <c r="B25" t="s" s="3">
        <v>528</v>
      </c>
      <c r="C25" s="3"/>
      <c r="D25" s="3"/>
    </row>
    <row r="26">
      <c r="B26" s="4"/>
      <c r="C26" t="s" s="4">
        <v>5</v>
      </c>
      <c r="D26" t="s" s="5">
        <v>528</v>
      </c>
    </row>
  </sheetData>
  <mergeCells count="1">
    <mergeCell ref="B3:D3"/>
  </mergeCells>
  <hyperlinks>
    <hyperlink ref="D10" location="'Cover page'!R1C1" tooltip="" display="Cover page"/>
    <hyperlink ref="D12" location="'USER GUIDE'!R1C1" tooltip="" display="USER GUIDE"/>
    <hyperlink ref="D14" location="'Window &amp; Door DATA INPUT'!R1C1" tooltip="" display="Window &amp; Door DATA INPUT"/>
    <hyperlink ref="D16" location="'RESULTS'!R1C1" tooltip="" display="RESULTS"/>
    <hyperlink ref="D18" location="'Compliance Checklist'!R1C1" tooltip="" display="Compliance Checklist"/>
    <hyperlink ref="D20" location="'Part O Criteria'!R1C1" tooltip="" display="Part O Criteria"/>
    <hyperlink ref="D22" location="'Calculations'!R1C1" tooltip="" display="Calculations"/>
    <hyperlink ref="D24" location="'Parameters'!R1C1" tooltip="" display="Parameters"/>
    <hyperlink ref="D26" location="'Open Plan '!R1C1" tooltip="" display="Open Plan "/>
  </hyperlinks>
</worksheet>
</file>

<file path=xl/worksheets/sheet10.xml><?xml version="1.0" encoding="utf-8"?>
<worksheet xmlns:r="http://schemas.openxmlformats.org/officeDocument/2006/relationships" xmlns="http://schemas.openxmlformats.org/spreadsheetml/2006/main">
  <dimension ref="A1:R10"/>
  <sheetViews>
    <sheetView workbookViewId="0" showGridLines="0" defaultGridColor="1"/>
  </sheetViews>
  <sheetFormatPr defaultColWidth="10.8333" defaultRowHeight="16" customHeight="1" outlineLevelRow="0" outlineLevelCol="0"/>
  <cols>
    <col min="1" max="1" width="17.8516" style="528" customWidth="1"/>
    <col min="2" max="18" width="10.8516" style="528" customWidth="1"/>
    <col min="19" max="16384" width="10.8516" style="528" customWidth="1"/>
  </cols>
  <sheetData>
    <row r="1" ht="21" customHeight="1">
      <c r="A1" s="529"/>
      <c r="B1" t="s" s="530">
        <v>529</v>
      </c>
      <c r="C1" s="531"/>
      <c r="D1" s="531"/>
      <c r="E1" s="531"/>
      <c r="F1" s="531"/>
      <c r="G1" s="531"/>
      <c r="H1" s="446"/>
      <c r="I1" s="446"/>
      <c r="J1" s="446"/>
      <c r="K1" s="446"/>
      <c r="L1" s="446"/>
      <c r="M1" s="446"/>
      <c r="N1" s="446"/>
      <c r="O1" s="446"/>
      <c r="P1" s="446"/>
      <c r="Q1" s="446"/>
      <c r="R1" s="446"/>
    </row>
    <row r="2" ht="73" customHeight="1">
      <c r="A2" t="s" s="532">
        <v>530</v>
      </c>
      <c r="B2" t="s" s="533">
        <v>531</v>
      </c>
      <c r="C2" t="s" s="533">
        <v>532</v>
      </c>
      <c r="D2" t="s" s="533">
        <v>201</v>
      </c>
      <c r="E2" t="s" s="533">
        <v>202</v>
      </c>
      <c r="F2" t="s" s="533">
        <v>204</v>
      </c>
      <c r="G2" t="s" s="533">
        <v>205</v>
      </c>
      <c r="H2" t="s" s="237">
        <v>206</v>
      </c>
      <c r="I2" t="s" s="237">
        <v>210</v>
      </c>
      <c r="J2" t="s" s="237">
        <v>214</v>
      </c>
      <c r="K2" t="s" s="237">
        <v>216</v>
      </c>
      <c r="L2" t="s" s="237">
        <v>217</v>
      </c>
      <c r="M2" t="s" s="237">
        <v>218</v>
      </c>
      <c r="N2" t="s" s="534">
        <v>533</v>
      </c>
      <c r="O2" t="s" s="534">
        <v>534</v>
      </c>
      <c r="P2" t="s" s="534">
        <v>535</v>
      </c>
      <c r="Q2" t="s" s="534">
        <v>536</v>
      </c>
      <c r="R2" t="s" s="535">
        <v>537</v>
      </c>
    </row>
    <row r="3" ht="15.35" customHeight="1">
      <c r="A3" s="536"/>
      <c r="B3" s="537">
        <v>1.4</v>
      </c>
      <c r="C3" s="537">
        <v>1.69</v>
      </c>
      <c r="D3" s="537">
        <v>1.58</v>
      </c>
      <c r="E3" s="537">
        <v>1.63</v>
      </c>
      <c r="F3" s="537">
        <v>1.63</v>
      </c>
      <c r="G3" s="537">
        <v>1.63</v>
      </c>
      <c r="H3" s="537">
        <v>0.5</v>
      </c>
      <c r="I3" s="537">
        <v>0.5</v>
      </c>
      <c r="J3" s="537">
        <v>0.74</v>
      </c>
      <c r="K3" s="537">
        <v>0.74</v>
      </c>
      <c r="L3" s="537">
        <v>0.74</v>
      </c>
      <c r="M3" s="537">
        <v>0.74</v>
      </c>
      <c r="N3" s="123"/>
      <c r="O3" s="123"/>
      <c r="P3" s="123"/>
      <c r="Q3" s="123"/>
      <c r="R3" s="209"/>
    </row>
    <row r="4" ht="15.35" customHeight="1">
      <c r="A4" t="s" s="532">
        <v>538</v>
      </c>
      <c r="B4" s="538">
        <f>B3</f>
        <v>1.4</v>
      </c>
      <c r="C4" s="539">
        <f>C3</f>
        <v>1.69</v>
      </c>
      <c r="D4" s="539">
        <f>D3</f>
        <v>1.58</v>
      </c>
      <c r="E4" s="539">
        <f>E3</f>
        <v>1.63</v>
      </c>
      <c r="F4" s="539">
        <f>F3</f>
        <v>1.63</v>
      </c>
      <c r="G4" s="540"/>
      <c r="H4" s="540"/>
      <c r="I4" s="540"/>
      <c r="J4" s="540"/>
      <c r="K4" s="540"/>
      <c r="L4" s="540"/>
      <c r="M4" s="540"/>
      <c r="N4" s="541">
        <f>B4+C4+D4+E4+F4</f>
        <v>7.93</v>
      </c>
      <c r="O4" s="539">
        <v>4.5</v>
      </c>
      <c r="P4" s="539">
        <v>6.55</v>
      </c>
      <c r="Q4" s="539">
        <f>O4*P4</f>
        <v>29.475</v>
      </c>
      <c r="R4" s="541">
        <f>(N4/Q4)*100</f>
        <v>26.9041560644614</v>
      </c>
    </row>
    <row r="5" ht="15.35" customHeight="1">
      <c r="A5" t="s" s="532">
        <v>200</v>
      </c>
      <c r="B5" s="463"/>
      <c r="C5" s="505">
        <f>C3</f>
        <v>1.69</v>
      </c>
      <c r="D5" s="505">
        <f>D3</f>
        <v>1.58</v>
      </c>
      <c r="E5" s="505">
        <f>E3</f>
        <v>1.63</v>
      </c>
      <c r="F5" s="505">
        <f>F3</f>
        <v>1.63</v>
      </c>
      <c r="G5" s="505">
        <f>G3</f>
        <v>1.63</v>
      </c>
      <c r="H5" s="505">
        <f>H3</f>
        <v>0.5</v>
      </c>
      <c r="I5" s="441"/>
      <c r="J5" s="505">
        <f>J3</f>
        <v>0.74</v>
      </c>
      <c r="K5" s="505">
        <f>K3</f>
        <v>0.74</v>
      </c>
      <c r="L5" s="441"/>
      <c r="M5" s="441"/>
      <c r="N5" s="505">
        <f>C5+D5+E5+F5+G5+H5+J5+K5</f>
        <v>10.14</v>
      </c>
      <c r="O5" s="505">
        <v>4.5</v>
      </c>
      <c r="P5" s="505">
        <v>7.56</v>
      </c>
      <c r="Q5" s="505">
        <f>O5*P5</f>
        <v>34.02</v>
      </c>
      <c r="R5" s="505">
        <f>(N5/Q5)*100</f>
        <v>29.8059964726631</v>
      </c>
    </row>
    <row r="6" ht="15.35" customHeight="1">
      <c r="A6" t="s" s="532">
        <v>209</v>
      </c>
      <c r="B6" s="463"/>
      <c r="C6" s="441"/>
      <c r="D6" s="441"/>
      <c r="E6" s="441"/>
      <c r="F6" s="505">
        <f>F3</f>
        <v>1.63</v>
      </c>
      <c r="G6" s="505">
        <f>G3</f>
        <v>1.63</v>
      </c>
      <c r="H6" s="505">
        <f>H3</f>
        <v>0.5</v>
      </c>
      <c r="I6" s="505">
        <f>I3</f>
        <v>0.5</v>
      </c>
      <c r="J6" s="505">
        <f>J3</f>
        <v>0.74</v>
      </c>
      <c r="K6" s="505">
        <f>K3</f>
        <v>0.74</v>
      </c>
      <c r="L6" s="505">
        <f>L3</f>
        <v>0.74</v>
      </c>
      <c r="M6" s="505">
        <f>M3</f>
        <v>0.74</v>
      </c>
      <c r="N6" s="505">
        <f>F6+G6+H6+I6+J6+K6+L6+M6</f>
        <v>7.22</v>
      </c>
      <c r="O6" s="505">
        <v>4.5</v>
      </c>
      <c r="P6" s="505">
        <v>6.55</v>
      </c>
      <c r="Q6" s="505">
        <f>O6*P6</f>
        <v>29.475</v>
      </c>
      <c r="R6" s="505">
        <f>(N6/Q6)*100</f>
        <v>24.4953350296862</v>
      </c>
    </row>
    <row r="7" ht="13.55" customHeight="1">
      <c r="A7" s="536"/>
      <c r="B7" s="463"/>
      <c r="C7" s="441"/>
      <c r="D7" s="441"/>
      <c r="E7" s="441"/>
      <c r="F7" s="441"/>
      <c r="G7" s="441"/>
      <c r="H7" s="441"/>
      <c r="I7" s="441"/>
      <c r="J7" s="441"/>
      <c r="K7" s="441"/>
      <c r="L7" s="441"/>
      <c r="M7" s="441"/>
      <c r="N7" s="441"/>
      <c r="O7" s="441"/>
      <c r="P7" s="441"/>
      <c r="Q7" s="441"/>
      <c r="R7" s="441"/>
    </row>
    <row r="8" ht="13.55" customHeight="1">
      <c r="A8" s="536"/>
      <c r="B8" s="463"/>
      <c r="C8" s="441"/>
      <c r="D8" s="441"/>
      <c r="E8" s="441"/>
      <c r="F8" s="441"/>
      <c r="G8" s="441"/>
      <c r="H8" s="441"/>
      <c r="I8" s="441"/>
      <c r="J8" s="441"/>
      <c r="K8" s="441"/>
      <c r="L8" s="441"/>
      <c r="M8" s="441"/>
      <c r="N8" s="441"/>
      <c r="O8" s="441"/>
      <c r="P8" s="441"/>
      <c r="Q8" s="441"/>
      <c r="R8" s="441"/>
    </row>
    <row r="9" ht="13.55" customHeight="1">
      <c r="A9" s="536"/>
      <c r="B9" s="463"/>
      <c r="C9" s="441"/>
      <c r="D9" s="441"/>
      <c r="E9" s="441"/>
      <c r="F9" s="441"/>
      <c r="G9" s="441"/>
      <c r="H9" s="441"/>
      <c r="I9" s="441"/>
      <c r="J9" s="441"/>
      <c r="K9" s="441"/>
      <c r="L9" s="441"/>
      <c r="M9" s="441"/>
      <c r="N9" s="441"/>
      <c r="O9" s="441"/>
      <c r="P9" s="441"/>
      <c r="Q9" s="441"/>
      <c r="R9" s="441"/>
    </row>
    <row r="10" ht="13.55" customHeight="1">
      <c r="A10" s="542"/>
      <c r="B10" s="463"/>
      <c r="C10" s="441"/>
      <c r="D10" s="441"/>
      <c r="E10" s="441"/>
      <c r="F10" s="441"/>
      <c r="G10" s="441"/>
      <c r="H10" s="441"/>
      <c r="I10" s="441"/>
      <c r="J10" s="441"/>
      <c r="K10" s="441"/>
      <c r="L10" s="441"/>
      <c r="M10" s="441"/>
      <c r="N10" s="441"/>
      <c r="O10" s="441"/>
      <c r="P10" s="441"/>
      <c r="Q10" s="441"/>
      <c r="R10" s="441"/>
    </row>
  </sheetData>
  <mergeCells count="1">
    <mergeCell ref="B1:G1"/>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1:F17"/>
  <sheetViews>
    <sheetView workbookViewId="0" showGridLines="0" defaultGridColor="1"/>
  </sheetViews>
  <sheetFormatPr defaultColWidth="8.83333" defaultRowHeight="15" customHeight="1" outlineLevelRow="0" outlineLevelCol="0"/>
  <cols>
    <col min="1" max="2" width="1.67188" style="6" customWidth="1"/>
    <col min="3" max="3" width="8.5" style="6" customWidth="1"/>
    <col min="4" max="4" width="36.8516" style="6" customWidth="1"/>
    <col min="5" max="5" width="45.5" style="6" customWidth="1"/>
    <col min="6" max="6" width="1.67188" style="6" customWidth="1"/>
    <col min="7" max="16384" width="8.85156" style="6" customWidth="1"/>
  </cols>
  <sheetData>
    <row r="1" ht="9" customHeight="1">
      <c r="A1" s="7"/>
      <c r="B1" s="8"/>
      <c r="C1" s="8"/>
      <c r="D1" s="8"/>
      <c r="E1" s="8"/>
      <c r="F1" s="9"/>
    </row>
    <row r="2" ht="9" customHeight="1">
      <c r="A2" s="10"/>
      <c r="B2" s="11"/>
      <c r="C2" s="12"/>
      <c r="D2" s="12"/>
      <c r="E2" s="12"/>
      <c r="F2" s="13"/>
    </row>
    <row r="3" ht="13.55" customHeight="1">
      <c r="A3" s="10"/>
      <c r="B3" s="14"/>
      <c r="C3" t="s" s="15">
        <v>6</v>
      </c>
      <c r="D3" t="s" s="16">
        <v>7</v>
      </c>
      <c r="E3" t="s" s="16">
        <v>8</v>
      </c>
      <c r="F3" s="17"/>
    </row>
    <row r="4" ht="9" customHeight="1">
      <c r="A4" s="10"/>
      <c r="B4" s="14"/>
      <c r="C4" s="18"/>
      <c r="D4" s="18"/>
      <c r="E4" s="18"/>
      <c r="F4" s="17"/>
    </row>
    <row r="5" ht="13.55" customHeight="1">
      <c r="A5" s="10"/>
      <c r="B5" s="14"/>
      <c r="C5" t="s" s="19">
        <v>9</v>
      </c>
      <c r="D5" s="20"/>
      <c r="E5" s="21"/>
      <c r="F5" s="17"/>
    </row>
    <row r="6" ht="13.55" customHeight="1">
      <c r="A6" s="10"/>
      <c r="B6" s="14"/>
      <c r="C6" t="s" s="22">
        <v>10</v>
      </c>
      <c r="D6" s="23"/>
      <c r="E6" s="21"/>
      <c r="F6" s="17"/>
    </row>
    <row r="7" ht="9" customHeight="1">
      <c r="A7" s="10"/>
      <c r="B7" s="14"/>
      <c r="C7" s="23"/>
      <c r="D7" s="23"/>
      <c r="E7" s="21"/>
      <c r="F7" s="17"/>
    </row>
    <row r="8" ht="33.5" customHeight="1">
      <c r="A8" s="10"/>
      <c r="B8" s="14"/>
      <c r="C8" t="s" s="24">
        <v>11</v>
      </c>
      <c r="D8" s="25"/>
      <c r="E8" s="25"/>
      <c r="F8" s="17"/>
    </row>
    <row r="9" ht="8" customHeight="1">
      <c r="A9" s="10"/>
      <c r="B9" s="14"/>
      <c r="C9" s="26"/>
      <c r="D9" s="26"/>
      <c r="E9" s="21"/>
      <c r="F9" s="17"/>
    </row>
    <row r="10" ht="67.75" customHeight="1">
      <c r="A10" s="10"/>
      <c r="B10" s="14"/>
      <c r="C10" t="s" s="27">
        <v>12</v>
      </c>
      <c r="D10" s="28"/>
      <c r="E10" s="28"/>
      <c r="F10" s="17"/>
    </row>
    <row r="11" ht="13.75" customHeight="1">
      <c r="A11" s="10"/>
      <c r="B11" s="14"/>
      <c r="C11" t="s" s="29">
        <v>13</v>
      </c>
      <c r="D11" s="30"/>
      <c r="E11" s="31"/>
      <c r="F11" s="17"/>
    </row>
    <row r="12" ht="81" customHeight="1">
      <c r="A12" s="10"/>
      <c r="B12" s="14"/>
      <c r="C12" t="s" s="32">
        <v>14</v>
      </c>
      <c r="D12" s="33"/>
      <c r="E12" s="33"/>
      <c r="F12" s="17"/>
    </row>
    <row r="13" ht="13.75" customHeight="1">
      <c r="A13" s="10"/>
      <c r="B13" s="14"/>
      <c r="C13" t="s" s="29">
        <v>15</v>
      </c>
      <c r="D13" s="30"/>
      <c r="E13" s="31"/>
      <c r="F13" s="17"/>
    </row>
    <row r="14" ht="34.75" customHeight="1">
      <c r="A14" s="10"/>
      <c r="B14" s="14"/>
      <c r="C14" t="s" s="32">
        <v>16</v>
      </c>
      <c r="D14" s="33"/>
      <c r="E14" s="33"/>
      <c r="F14" s="17"/>
    </row>
    <row r="15" ht="21" customHeight="1">
      <c r="A15" s="10"/>
      <c r="B15" s="14"/>
      <c r="C15" t="s" s="34">
        <v>17</v>
      </c>
      <c r="D15" s="35"/>
      <c r="E15" s="35"/>
      <c r="F15" s="17"/>
    </row>
    <row r="16" ht="30" customHeight="1">
      <c r="A16" s="10"/>
      <c r="B16" s="14"/>
      <c r="C16" t="s" s="36">
        <v>18</v>
      </c>
      <c r="D16" s="37"/>
      <c r="E16" s="37"/>
      <c r="F16" s="17"/>
    </row>
    <row r="17" ht="9" customHeight="1">
      <c r="A17" s="38"/>
      <c r="B17" s="39"/>
      <c r="C17" s="40"/>
      <c r="D17" s="40"/>
      <c r="E17" s="40"/>
      <c r="F17" s="41"/>
    </row>
  </sheetData>
  <mergeCells count="6">
    <mergeCell ref="C10:E10"/>
    <mergeCell ref="C12:E12"/>
    <mergeCell ref="C16:E16"/>
    <mergeCell ref="C14:E14"/>
    <mergeCell ref="C8:E8"/>
    <mergeCell ref="C15:E15"/>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dimension ref="A1:P209"/>
  <sheetViews>
    <sheetView workbookViewId="0" showGridLines="0" defaultGridColor="1"/>
  </sheetViews>
  <sheetFormatPr defaultColWidth="8.83333" defaultRowHeight="15" customHeight="1" outlineLevelRow="0" outlineLevelCol="0"/>
  <cols>
    <col min="1" max="2" width="1.67188" style="42" customWidth="1"/>
    <col min="3" max="3" width="3.85156" style="42" customWidth="1"/>
    <col min="4" max="4" width="90.5" style="42" customWidth="1"/>
    <col min="5" max="5" width="1.67188" style="42" customWidth="1"/>
    <col min="6" max="6" width="5.5" style="42" customWidth="1"/>
    <col min="7" max="7" width="1.67188" style="42" customWidth="1"/>
    <col min="8" max="8" width="65.8516" style="42" customWidth="1"/>
    <col min="9" max="9" width="1.67188" style="42" customWidth="1"/>
    <col min="10" max="16" width="8.85156" style="42" customWidth="1"/>
    <col min="17" max="16384" width="8.85156" style="42" customWidth="1"/>
  </cols>
  <sheetData>
    <row r="1" ht="9" customHeight="1">
      <c r="A1" s="7"/>
      <c r="B1" s="43"/>
      <c r="C1" s="43"/>
      <c r="D1" s="43"/>
      <c r="E1" s="43"/>
      <c r="F1" s="43"/>
      <c r="G1" s="43"/>
      <c r="H1" s="44"/>
      <c r="I1" s="43"/>
      <c r="J1" s="43"/>
      <c r="K1" s="43"/>
      <c r="L1" s="43"/>
      <c r="M1" s="43"/>
      <c r="N1" s="43"/>
      <c r="O1" s="43"/>
      <c r="P1" s="45"/>
    </row>
    <row r="2" ht="15" customHeight="1">
      <c r="A2" s="46"/>
      <c r="B2" s="47"/>
      <c r="C2" t="s" s="19">
        <v>9</v>
      </c>
      <c r="D2" s="26"/>
      <c r="E2" s="47"/>
      <c r="F2" s="26"/>
      <c r="G2" s="47"/>
      <c r="H2" s="48"/>
      <c r="I2" s="47"/>
      <c r="J2" s="47"/>
      <c r="K2" s="47"/>
      <c r="L2" s="47"/>
      <c r="M2" s="47"/>
      <c r="N2" s="47"/>
      <c r="O2" s="47"/>
      <c r="P2" s="49"/>
    </row>
    <row r="3" ht="15" customHeight="1">
      <c r="A3" s="46"/>
      <c r="B3" s="47"/>
      <c r="C3" t="s" s="22">
        <v>10</v>
      </c>
      <c r="D3" s="26"/>
      <c r="E3" s="47"/>
      <c r="F3" s="26"/>
      <c r="G3" s="47"/>
      <c r="H3" s="48"/>
      <c r="I3" s="47"/>
      <c r="J3" s="47"/>
      <c r="K3" s="47"/>
      <c r="L3" s="47"/>
      <c r="M3" s="47"/>
      <c r="N3" s="47"/>
      <c r="O3" s="47"/>
      <c r="P3" s="49"/>
    </row>
    <row r="4" ht="8" customHeight="1">
      <c r="A4" s="46"/>
      <c r="B4" s="47"/>
      <c r="C4" s="26"/>
      <c r="D4" s="26"/>
      <c r="E4" s="47"/>
      <c r="F4" s="26"/>
      <c r="G4" s="47"/>
      <c r="H4" s="48"/>
      <c r="I4" s="47"/>
      <c r="J4" s="47"/>
      <c r="K4" s="47"/>
      <c r="L4" s="47"/>
      <c r="M4" s="47"/>
      <c r="N4" s="47"/>
      <c r="O4" s="47"/>
      <c r="P4" s="49"/>
    </row>
    <row r="5" ht="15" customHeight="1">
      <c r="A5" s="46"/>
      <c r="B5" s="47"/>
      <c r="C5" t="s" s="50">
        <v>20</v>
      </c>
      <c r="D5" s="26"/>
      <c r="E5" s="47"/>
      <c r="F5" s="26"/>
      <c r="G5" s="47"/>
      <c r="H5" s="48"/>
      <c r="I5" s="47"/>
      <c r="J5" s="47"/>
      <c r="K5" s="47"/>
      <c r="L5" s="47"/>
      <c r="M5" s="47"/>
      <c r="N5" s="47"/>
      <c r="O5" s="47"/>
      <c r="P5" s="49"/>
    </row>
    <row r="6" ht="15" customHeight="1">
      <c r="A6" s="46"/>
      <c r="B6" s="47"/>
      <c r="C6" t="s" s="50">
        <f>'Cover page'!D3</f>
        <v>21</v>
      </c>
      <c r="D6" s="26"/>
      <c r="E6" s="47"/>
      <c r="F6" s="26"/>
      <c r="G6" s="47"/>
      <c r="H6" s="48"/>
      <c r="I6" s="47"/>
      <c r="J6" s="47"/>
      <c r="K6" s="47"/>
      <c r="L6" s="47"/>
      <c r="M6" s="47"/>
      <c r="N6" s="47"/>
      <c r="O6" s="47"/>
      <c r="P6" s="49"/>
    </row>
    <row r="7" ht="8" customHeight="1">
      <c r="A7" s="46"/>
      <c r="B7" s="47"/>
      <c r="C7" s="51"/>
      <c r="D7" s="26"/>
      <c r="E7" s="47"/>
      <c r="F7" s="26"/>
      <c r="G7" s="47"/>
      <c r="H7" s="48"/>
      <c r="I7" s="47"/>
      <c r="J7" s="47"/>
      <c r="K7" s="47"/>
      <c r="L7" s="47"/>
      <c r="M7" s="47"/>
      <c r="N7" s="47"/>
      <c r="O7" s="47"/>
      <c r="P7" s="49"/>
    </row>
    <row r="8" ht="15" customHeight="1">
      <c r="A8" s="46"/>
      <c r="B8" s="47"/>
      <c r="C8" t="s" s="50">
        <v>22</v>
      </c>
      <c r="D8" s="26"/>
      <c r="E8" s="47"/>
      <c r="F8" s="26"/>
      <c r="G8" s="47"/>
      <c r="H8" s="48"/>
      <c r="I8" s="47"/>
      <c r="J8" s="47"/>
      <c r="K8" s="47"/>
      <c r="L8" s="47"/>
      <c r="M8" s="47"/>
      <c r="N8" s="47"/>
      <c r="O8" s="47"/>
      <c r="P8" s="49"/>
    </row>
    <row r="9" ht="9" customHeight="1">
      <c r="A9" s="46"/>
      <c r="B9" s="40"/>
      <c r="C9" s="52"/>
      <c r="D9" s="53"/>
      <c r="E9" s="40"/>
      <c r="F9" s="26"/>
      <c r="G9" s="47"/>
      <c r="H9" s="48"/>
      <c r="I9" s="47"/>
      <c r="J9" s="47"/>
      <c r="K9" s="47"/>
      <c r="L9" s="47"/>
      <c r="M9" s="47"/>
      <c r="N9" s="47"/>
      <c r="O9" s="47"/>
      <c r="P9" s="49"/>
    </row>
    <row r="10" ht="21" customHeight="1">
      <c r="A10" s="10"/>
      <c r="B10" t="s" s="54">
        <v>19</v>
      </c>
      <c r="C10" s="55"/>
      <c r="D10" s="55"/>
      <c r="E10" s="56"/>
      <c r="F10" s="57"/>
      <c r="G10" s="47"/>
      <c r="H10" s="48"/>
      <c r="I10" s="47"/>
      <c r="J10" s="47"/>
      <c r="K10" s="47"/>
      <c r="L10" s="47"/>
      <c r="M10" s="47"/>
      <c r="N10" s="47"/>
      <c r="O10" s="47"/>
      <c r="P10" s="49"/>
    </row>
    <row r="11" ht="9" customHeight="1">
      <c r="A11" s="46"/>
      <c r="B11" s="12"/>
      <c r="C11" s="58"/>
      <c r="D11" s="59"/>
      <c r="E11" s="12"/>
      <c r="F11" s="26"/>
      <c r="G11" s="47"/>
      <c r="H11" s="48"/>
      <c r="I11" s="47"/>
      <c r="J11" s="47"/>
      <c r="K11" s="47"/>
      <c r="L11" s="47"/>
      <c r="M11" s="47"/>
      <c r="N11" s="47"/>
      <c r="O11" s="47"/>
      <c r="P11" s="49"/>
    </row>
    <row r="12" ht="28.75" customHeight="1">
      <c r="A12" s="46"/>
      <c r="B12" s="47"/>
      <c r="C12" t="s" s="60">
        <v>23</v>
      </c>
      <c r="D12" s="61"/>
      <c r="E12" s="47"/>
      <c r="F12" s="26"/>
      <c r="G12" s="47"/>
      <c r="H12" s="48"/>
      <c r="I12" s="47"/>
      <c r="J12" s="47"/>
      <c r="K12" s="47"/>
      <c r="L12" s="47"/>
      <c r="M12" s="47"/>
      <c r="N12" s="47"/>
      <c r="O12" s="47"/>
      <c r="P12" s="49"/>
    </row>
    <row r="13" ht="9" customHeight="1">
      <c r="A13" s="46"/>
      <c r="B13" s="40"/>
      <c r="C13" s="52"/>
      <c r="D13" s="53"/>
      <c r="E13" s="40"/>
      <c r="F13" s="26"/>
      <c r="G13" s="47"/>
      <c r="H13" s="48"/>
      <c r="I13" s="47"/>
      <c r="J13" s="47"/>
      <c r="K13" s="47"/>
      <c r="L13" s="47"/>
      <c r="M13" s="47"/>
      <c r="N13" s="47"/>
      <c r="O13" s="47"/>
      <c r="P13" s="49"/>
    </row>
    <row r="14" ht="9" customHeight="1">
      <c r="A14" s="10"/>
      <c r="B14" s="11"/>
      <c r="C14" s="58"/>
      <c r="D14" s="59"/>
      <c r="E14" s="13"/>
      <c r="F14" s="57"/>
      <c r="G14" s="47"/>
      <c r="H14" s="48"/>
      <c r="I14" s="47"/>
      <c r="J14" s="47"/>
      <c r="K14" s="47"/>
      <c r="L14" s="47"/>
      <c r="M14" s="47"/>
      <c r="N14" s="47"/>
      <c r="O14" s="47"/>
      <c r="P14" s="49"/>
    </row>
    <row r="15" ht="29" customHeight="1">
      <c r="A15" s="10"/>
      <c r="B15" s="14"/>
      <c r="C15" t="s" s="62">
        <v>24</v>
      </c>
      <c r="D15" s="63"/>
      <c r="E15" s="17"/>
      <c r="F15" s="14"/>
      <c r="G15" s="47"/>
      <c r="H15" s="48"/>
      <c r="I15" s="64"/>
      <c r="J15" s="64"/>
      <c r="K15" s="64"/>
      <c r="L15" s="64"/>
      <c r="M15" s="64"/>
      <c r="N15" s="64"/>
      <c r="O15" s="64"/>
      <c r="P15" s="65"/>
    </row>
    <row r="16" ht="28.75" customHeight="1">
      <c r="A16" s="10"/>
      <c r="B16" s="14"/>
      <c r="C16" t="s" s="66">
        <v>25</v>
      </c>
      <c r="D16" t="s" s="67">
        <v>26</v>
      </c>
      <c r="E16" s="17"/>
      <c r="F16" s="14"/>
      <c r="G16" s="47"/>
      <c r="H16" s="48"/>
      <c r="I16" s="68"/>
      <c r="J16" s="68"/>
      <c r="K16" s="68"/>
      <c r="L16" s="68"/>
      <c r="M16" s="68"/>
      <c r="N16" s="68"/>
      <c r="O16" s="68"/>
      <c r="P16" s="69"/>
    </row>
    <row r="17" ht="16" customHeight="1">
      <c r="A17" s="10"/>
      <c r="B17" s="14"/>
      <c r="C17" t="s" s="66">
        <v>25</v>
      </c>
      <c r="D17" t="s" s="67">
        <v>27</v>
      </c>
      <c r="E17" s="17"/>
      <c r="F17" s="14"/>
      <c r="G17" s="47"/>
      <c r="H17" s="48"/>
      <c r="I17" s="70"/>
      <c r="J17" s="70"/>
      <c r="K17" s="70"/>
      <c r="L17" s="70"/>
      <c r="M17" s="70"/>
      <c r="N17" s="70"/>
      <c r="O17" s="70"/>
      <c r="P17" s="71"/>
    </row>
    <row r="18" ht="16" customHeight="1">
      <c r="A18" s="10"/>
      <c r="B18" s="14"/>
      <c r="C18" t="s" s="66">
        <v>25</v>
      </c>
      <c r="D18" t="s" s="67">
        <v>28</v>
      </c>
      <c r="E18" s="17"/>
      <c r="F18" s="14"/>
      <c r="G18" s="47"/>
      <c r="H18" s="48"/>
      <c r="I18" s="70"/>
      <c r="J18" s="70"/>
      <c r="K18" s="70"/>
      <c r="L18" s="70"/>
      <c r="M18" s="70"/>
      <c r="N18" s="70"/>
      <c r="O18" s="70"/>
      <c r="P18" s="71"/>
    </row>
    <row r="19" ht="16" customHeight="1">
      <c r="A19" s="10"/>
      <c r="B19" s="14"/>
      <c r="C19" t="s" s="66">
        <v>25</v>
      </c>
      <c r="D19" t="s" s="67">
        <v>29</v>
      </c>
      <c r="E19" s="17"/>
      <c r="F19" s="14"/>
      <c r="G19" s="47"/>
      <c r="H19" s="48"/>
      <c r="I19" s="70"/>
      <c r="J19" s="70"/>
      <c r="K19" s="70"/>
      <c r="L19" s="70"/>
      <c r="M19" s="70"/>
      <c r="N19" s="70"/>
      <c r="O19" s="70"/>
      <c r="P19" s="71"/>
    </row>
    <row r="20" ht="32" customHeight="1">
      <c r="A20" s="10"/>
      <c r="B20" s="14"/>
      <c r="C20" t="s" s="66">
        <v>25</v>
      </c>
      <c r="D20" t="s" s="67">
        <v>30</v>
      </c>
      <c r="E20" s="17"/>
      <c r="F20" s="14"/>
      <c r="G20" s="47"/>
      <c r="H20" s="48"/>
      <c r="I20" s="47"/>
      <c r="J20" s="47"/>
      <c r="K20" s="47"/>
      <c r="L20" s="47"/>
      <c r="M20" s="47"/>
      <c r="N20" s="47"/>
      <c r="O20" s="47"/>
      <c r="P20" s="49"/>
    </row>
    <row r="21" ht="14.5" customHeight="1">
      <c r="A21" s="10"/>
      <c r="B21" s="14"/>
      <c r="C21" t="s" s="66">
        <v>25</v>
      </c>
      <c r="D21" t="s" s="67">
        <v>31</v>
      </c>
      <c r="E21" s="17"/>
      <c r="F21" s="14"/>
      <c r="G21" s="47"/>
      <c r="H21" t="s" s="72">
        <v>17</v>
      </c>
      <c r="I21" s="47"/>
      <c r="J21" s="47"/>
      <c r="K21" s="47"/>
      <c r="L21" s="47"/>
      <c r="M21" s="47"/>
      <c r="N21" s="47"/>
      <c r="O21" s="47"/>
      <c r="P21" s="49"/>
    </row>
    <row r="22" ht="14.5" customHeight="1">
      <c r="A22" s="10"/>
      <c r="B22" s="14"/>
      <c r="C22" t="s" s="66">
        <v>25</v>
      </c>
      <c r="D22" t="s" s="67">
        <v>32</v>
      </c>
      <c r="E22" s="17"/>
      <c r="F22" s="14"/>
      <c r="G22" s="47"/>
      <c r="H22" s="64"/>
      <c r="I22" s="47"/>
      <c r="J22" s="47"/>
      <c r="K22" s="47"/>
      <c r="L22" s="47"/>
      <c r="M22" s="47"/>
      <c r="N22" s="47"/>
      <c r="O22" s="47"/>
      <c r="P22" s="49"/>
    </row>
    <row r="23" ht="14.5" customHeight="1">
      <c r="A23" s="10"/>
      <c r="B23" s="14"/>
      <c r="C23" t="s" s="66">
        <v>25</v>
      </c>
      <c r="D23" t="s" s="67">
        <v>33</v>
      </c>
      <c r="E23" s="17"/>
      <c r="F23" s="14"/>
      <c r="G23" t="s" s="73">
        <v>34</v>
      </c>
      <c r="H23" s="74"/>
      <c r="I23" s="74"/>
      <c r="J23" s="47"/>
      <c r="K23" s="47"/>
      <c r="L23" s="47"/>
      <c r="M23" s="47"/>
      <c r="N23" s="47"/>
      <c r="O23" s="47"/>
      <c r="P23" s="49"/>
    </row>
    <row r="24" ht="9" customHeight="1">
      <c r="A24" s="10"/>
      <c r="B24" s="39"/>
      <c r="C24" s="52"/>
      <c r="D24" s="53"/>
      <c r="E24" s="41"/>
      <c r="F24" s="57"/>
      <c r="G24" s="74"/>
      <c r="H24" s="74"/>
      <c r="I24" s="74"/>
      <c r="J24" s="47"/>
      <c r="K24" s="47"/>
      <c r="L24" s="47"/>
      <c r="M24" s="47"/>
      <c r="N24" s="47"/>
      <c r="O24" s="47"/>
      <c r="P24" s="49"/>
    </row>
    <row r="25" ht="9" customHeight="1">
      <c r="A25" s="46"/>
      <c r="B25" s="75"/>
      <c r="C25" s="76"/>
      <c r="D25" s="77"/>
      <c r="E25" s="75"/>
      <c r="F25" s="26"/>
      <c r="G25" s="74"/>
      <c r="H25" s="74"/>
      <c r="I25" s="74"/>
      <c r="J25" s="47"/>
      <c r="K25" s="47"/>
      <c r="L25" s="47"/>
      <c r="M25" s="47"/>
      <c r="N25" s="47"/>
      <c r="O25" s="47"/>
      <c r="P25" s="49"/>
    </row>
    <row r="26" ht="9" customHeight="1">
      <c r="A26" s="10"/>
      <c r="B26" s="11"/>
      <c r="C26" s="58"/>
      <c r="D26" s="59"/>
      <c r="E26" s="13"/>
      <c r="F26" s="57"/>
      <c r="G26" s="74"/>
      <c r="H26" s="74"/>
      <c r="I26" s="74"/>
      <c r="J26" s="47"/>
      <c r="K26" s="47"/>
      <c r="L26" s="47"/>
      <c r="M26" s="47"/>
      <c r="N26" s="47"/>
      <c r="O26" s="47"/>
      <c r="P26" s="49"/>
    </row>
    <row r="27" ht="15" customHeight="1">
      <c r="A27" s="10"/>
      <c r="B27" s="14"/>
      <c r="C27" t="s" s="62">
        <v>35</v>
      </c>
      <c r="D27" s="47"/>
      <c r="E27" s="17"/>
      <c r="F27" s="14"/>
      <c r="G27" s="74"/>
      <c r="H27" s="74"/>
      <c r="I27" s="74"/>
      <c r="J27" s="47"/>
      <c r="K27" s="47"/>
      <c r="L27" s="47"/>
      <c r="M27" s="47"/>
      <c r="N27" s="47"/>
      <c r="O27" s="47"/>
      <c r="P27" s="49"/>
    </row>
    <row r="28" ht="32" customHeight="1">
      <c r="A28" s="10"/>
      <c r="B28" s="14"/>
      <c r="C28" t="s" s="66">
        <v>36</v>
      </c>
      <c r="D28" t="s" s="67">
        <v>37</v>
      </c>
      <c r="E28" s="17"/>
      <c r="F28" s="14"/>
      <c r="G28" s="74"/>
      <c r="H28" s="74"/>
      <c r="I28" s="74"/>
      <c r="J28" s="47"/>
      <c r="K28" s="47"/>
      <c r="L28" s="47"/>
      <c r="M28" s="47"/>
      <c r="N28" s="47"/>
      <c r="O28" s="47"/>
      <c r="P28" s="49"/>
    </row>
    <row r="29" ht="33" customHeight="1">
      <c r="A29" s="10"/>
      <c r="B29" s="14"/>
      <c r="C29" t="s" s="66">
        <v>38</v>
      </c>
      <c r="D29" t="s" s="67">
        <v>39</v>
      </c>
      <c r="E29" s="17"/>
      <c r="F29" s="14"/>
      <c r="G29" s="78"/>
      <c r="H29" s="78"/>
      <c r="I29" s="78"/>
      <c r="J29" s="47"/>
      <c r="K29" s="47"/>
      <c r="L29" s="47"/>
      <c r="M29" s="47"/>
      <c r="N29" s="47"/>
      <c r="O29" s="47"/>
      <c r="P29" s="49"/>
    </row>
    <row r="30" ht="16" customHeight="1">
      <c r="A30" s="10"/>
      <c r="B30" s="14"/>
      <c r="C30" t="s" s="66">
        <v>40</v>
      </c>
      <c r="D30" t="s" s="67">
        <v>41</v>
      </c>
      <c r="E30" s="17"/>
      <c r="F30" s="79"/>
      <c r="G30" s="80"/>
      <c r="H30" t="s" s="81">
        <v>42</v>
      </c>
      <c r="I30" s="82"/>
      <c r="J30" s="83"/>
      <c r="K30" s="47"/>
      <c r="L30" s="47"/>
      <c r="M30" s="47"/>
      <c r="N30" s="47"/>
      <c r="O30" s="47"/>
      <c r="P30" s="49"/>
    </row>
    <row r="31" ht="32" customHeight="1">
      <c r="A31" s="10"/>
      <c r="B31" s="14"/>
      <c r="C31" t="s" s="66">
        <v>43</v>
      </c>
      <c r="D31" t="s" s="67">
        <v>44</v>
      </c>
      <c r="E31" s="17"/>
      <c r="F31" s="79"/>
      <c r="G31" s="83"/>
      <c r="H31" t="s" s="67">
        <v>45</v>
      </c>
      <c r="I31" s="84"/>
      <c r="J31" s="83"/>
      <c r="K31" s="47"/>
      <c r="L31" s="47"/>
      <c r="M31" s="47"/>
      <c r="N31" s="47"/>
      <c r="O31" s="47"/>
      <c r="P31" s="49"/>
    </row>
    <row r="32" ht="16" customHeight="1">
      <c r="A32" s="10"/>
      <c r="B32" s="14"/>
      <c r="C32" t="s" s="66">
        <v>46</v>
      </c>
      <c r="D32" t="s" s="67">
        <v>47</v>
      </c>
      <c r="E32" s="17"/>
      <c r="F32" s="79"/>
      <c r="G32" s="83"/>
      <c r="H32" t="s" s="67">
        <v>48</v>
      </c>
      <c r="I32" s="84"/>
      <c r="J32" s="83"/>
      <c r="K32" s="47"/>
      <c r="L32" s="47"/>
      <c r="M32" s="47"/>
      <c r="N32" s="47"/>
      <c r="O32" s="47"/>
      <c r="P32" s="49"/>
    </row>
    <row r="33" ht="32" customHeight="1">
      <c r="A33" s="10"/>
      <c r="B33" s="14"/>
      <c r="C33" t="s" s="66">
        <v>49</v>
      </c>
      <c r="D33" t="s" s="67">
        <v>50</v>
      </c>
      <c r="E33" s="17"/>
      <c r="F33" s="79"/>
      <c r="G33" s="83"/>
      <c r="H33" s="85"/>
      <c r="I33" s="84"/>
      <c r="J33" s="83"/>
      <c r="K33" s="47"/>
      <c r="L33" s="47"/>
      <c r="M33" s="47"/>
      <c r="N33" s="47"/>
      <c r="O33" s="47"/>
      <c r="P33" s="49"/>
    </row>
    <row r="34" ht="16" customHeight="1">
      <c r="A34" s="10"/>
      <c r="B34" s="14"/>
      <c r="C34" t="s" s="66">
        <v>51</v>
      </c>
      <c r="D34" t="s" s="67">
        <v>52</v>
      </c>
      <c r="E34" s="17"/>
      <c r="F34" s="79"/>
      <c r="G34" s="83"/>
      <c r="H34" s="85"/>
      <c r="I34" s="84"/>
      <c r="J34" s="83"/>
      <c r="K34" s="47"/>
      <c r="L34" s="47"/>
      <c r="M34" s="47"/>
      <c r="N34" s="47"/>
      <c r="O34" s="47"/>
      <c r="P34" s="49"/>
    </row>
    <row r="35" ht="16" customHeight="1">
      <c r="A35" s="10"/>
      <c r="B35" s="14"/>
      <c r="C35" t="s" s="66">
        <v>53</v>
      </c>
      <c r="D35" t="s" s="67">
        <v>54</v>
      </c>
      <c r="E35" s="17"/>
      <c r="F35" s="79"/>
      <c r="G35" s="83"/>
      <c r="H35" s="85"/>
      <c r="I35" s="84"/>
      <c r="J35" s="83"/>
      <c r="K35" s="47"/>
      <c r="L35" s="47"/>
      <c r="M35" s="47"/>
      <c r="N35" s="47"/>
      <c r="O35" s="47"/>
      <c r="P35" s="49"/>
    </row>
    <row r="36" ht="9" customHeight="1">
      <c r="A36" s="10"/>
      <c r="B36" s="39"/>
      <c r="C36" s="52"/>
      <c r="D36" s="53"/>
      <c r="E36" s="41"/>
      <c r="F36" s="86"/>
      <c r="G36" s="87"/>
      <c r="H36" s="88"/>
      <c r="I36" s="89"/>
      <c r="J36" s="83"/>
      <c r="K36" s="47"/>
      <c r="L36" s="47"/>
      <c r="M36" s="47"/>
      <c r="N36" s="47"/>
      <c r="O36" s="47"/>
      <c r="P36" s="49"/>
    </row>
    <row r="37" ht="9" customHeight="1">
      <c r="A37" s="46"/>
      <c r="B37" s="75"/>
      <c r="C37" s="76"/>
      <c r="D37" s="77"/>
      <c r="E37" s="75"/>
      <c r="F37" s="26"/>
      <c r="G37" s="90"/>
      <c r="H37" s="91"/>
      <c r="I37" s="90"/>
      <c r="J37" s="47"/>
      <c r="K37" s="47"/>
      <c r="L37" s="47"/>
      <c r="M37" s="47"/>
      <c r="N37" s="47"/>
      <c r="O37" s="47"/>
      <c r="P37" s="49"/>
    </row>
    <row r="38" ht="9" customHeight="1">
      <c r="A38" s="10"/>
      <c r="B38" s="11"/>
      <c r="C38" s="58"/>
      <c r="D38" s="59"/>
      <c r="E38" s="13"/>
      <c r="F38" s="57"/>
      <c r="G38" s="92"/>
      <c r="H38" s="88"/>
      <c r="I38" s="92"/>
      <c r="J38" s="47"/>
      <c r="K38" s="47"/>
      <c r="L38" s="47"/>
      <c r="M38" s="47"/>
      <c r="N38" s="47"/>
      <c r="O38" s="47"/>
      <c r="P38" s="49"/>
    </row>
    <row r="39" ht="15" customHeight="1">
      <c r="A39" s="10"/>
      <c r="B39" s="14"/>
      <c r="C39" t="s" s="62">
        <v>55</v>
      </c>
      <c r="D39" s="47"/>
      <c r="E39" s="17"/>
      <c r="F39" s="79"/>
      <c r="G39" s="80"/>
      <c r="H39" t="s" s="81">
        <v>56</v>
      </c>
      <c r="I39" s="82"/>
      <c r="J39" s="83"/>
      <c r="K39" s="47"/>
      <c r="L39" s="47"/>
      <c r="M39" s="47"/>
      <c r="N39" s="47"/>
      <c r="O39" s="47"/>
      <c r="P39" s="49"/>
    </row>
    <row r="40" ht="8" customHeight="1">
      <c r="A40" s="10"/>
      <c r="B40" s="14"/>
      <c r="C40" s="63"/>
      <c r="D40" s="47"/>
      <c r="E40" s="17"/>
      <c r="F40" s="79"/>
      <c r="G40" s="83"/>
      <c r="H40" s="48"/>
      <c r="I40" s="84"/>
      <c r="J40" s="83"/>
      <c r="K40" s="47"/>
      <c r="L40" s="47"/>
      <c r="M40" s="47"/>
      <c r="N40" s="47"/>
      <c r="O40" s="47"/>
      <c r="P40" s="49"/>
    </row>
    <row r="41" ht="14.5" customHeight="1">
      <c r="A41" s="10"/>
      <c r="B41" s="14"/>
      <c r="C41" s="47"/>
      <c r="D41" t="s" s="93">
        <v>57</v>
      </c>
      <c r="E41" s="17"/>
      <c r="F41" s="79"/>
      <c r="G41" s="83"/>
      <c r="H41" t="s" s="67">
        <v>58</v>
      </c>
      <c r="I41" s="84"/>
      <c r="J41" s="83"/>
      <c r="K41" s="47"/>
      <c r="L41" s="47"/>
      <c r="M41" s="47"/>
      <c r="N41" s="47"/>
      <c r="O41" s="47"/>
      <c r="P41" s="49"/>
    </row>
    <row r="42" ht="15" customHeight="1">
      <c r="A42" s="10"/>
      <c r="B42" s="14"/>
      <c r="C42" s="47"/>
      <c r="D42" t="s" s="94">
        <v>59</v>
      </c>
      <c r="E42" s="17"/>
      <c r="F42" s="79"/>
      <c r="G42" s="83"/>
      <c r="H42" s="85"/>
      <c r="I42" s="84"/>
      <c r="J42" s="83"/>
      <c r="K42" s="47"/>
      <c r="L42" s="47"/>
      <c r="M42" s="47"/>
      <c r="N42" s="47"/>
      <c r="O42" s="47"/>
      <c r="P42" s="49"/>
    </row>
    <row r="43" ht="8" customHeight="1">
      <c r="A43" s="10"/>
      <c r="B43" s="14"/>
      <c r="C43" s="47"/>
      <c r="D43" s="48"/>
      <c r="E43" s="17"/>
      <c r="F43" s="79"/>
      <c r="G43" s="83"/>
      <c r="H43" s="85"/>
      <c r="I43" s="84"/>
      <c r="J43" s="83"/>
      <c r="K43" s="47"/>
      <c r="L43" s="47"/>
      <c r="M43" s="47"/>
      <c r="N43" s="47"/>
      <c r="O43" s="47"/>
      <c r="P43" s="49"/>
    </row>
    <row r="44" ht="16" customHeight="1">
      <c r="A44" s="10"/>
      <c r="B44" s="14"/>
      <c r="C44" s="95">
        <v>1</v>
      </c>
      <c r="D44" t="s" s="67">
        <v>60</v>
      </c>
      <c r="E44" s="17"/>
      <c r="F44" s="79"/>
      <c r="G44" s="83"/>
      <c r="H44" s="85"/>
      <c r="I44" s="84"/>
      <c r="J44" s="83"/>
      <c r="K44" s="47"/>
      <c r="L44" s="47"/>
      <c r="M44" s="47"/>
      <c r="N44" s="47"/>
      <c r="O44" s="47"/>
      <c r="P44" s="49"/>
    </row>
    <row r="45" ht="16" customHeight="1">
      <c r="A45" s="10"/>
      <c r="B45" s="14"/>
      <c r="C45" s="95">
        <f>C44+1</f>
        <v>2</v>
      </c>
      <c r="D45" t="s" s="67">
        <v>61</v>
      </c>
      <c r="E45" s="17"/>
      <c r="F45" s="79"/>
      <c r="G45" s="83"/>
      <c r="H45" s="85"/>
      <c r="I45" s="84"/>
      <c r="J45" s="83"/>
      <c r="K45" s="47"/>
      <c r="L45" s="47"/>
      <c r="M45" s="47"/>
      <c r="N45" s="47"/>
      <c r="O45" s="47"/>
      <c r="P45" s="49"/>
    </row>
    <row r="46" ht="18" customHeight="1">
      <c r="A46" s="10"/>
      <c r="B46" s="14"/>
      <c r="C46" s="95">
        <f>C45+1</f>
        <v>3</v>
      </c>
      <c r="D46" t="s" s="67">
        <v>62</v>
      </c>
      <c r="E46" s="17"/>
      <c r="F46" s="79"/>
      <c r="G46" s="83"/>
      <c r="H46" s="48"/>
      <c r="I46" s="84"/>
      <c r="J46" s="83"/>
      <c r="K46" s="47"/>
      <c r="L46" s="47"/>
      <c r="M46" s="47"/>
      <c r="N46" s="47"/>
      <c r="O46" s="47"/>
      <c r="P46" s="49"/>
    </row>
    <row r="47" ht="32" customHeight="1">
      <c r="A47" s="10"/>
      <c r="B47" s="14"/>
      <c r="C47" s="95">
        <f>C46+1</f>
        <v>4</v>
      </c>
      <c r="D47" t="s" s="67">
        <v>63</v>
      </c>
      <c r="E47" s="17"/>
      <c r="F47" s="79"/>
      <c r="G47" s="83"/>
      <c r="H47" s="48"/>
      <c r="I47" s="84"/>
      <c r="J47" s="83"/>
      <c r="K47" s="47"/>
      <c r="L47" s="47"/>
      <c r="M47" s="47"/>
      <c r="N47" s="47"/>
      <c r="O47" s="47"/>
      <c r="P47" s="49"/>
    </row>
    <row r="48" ht="64" customHeight="1">
      <c r="A48" s="10"/>
      <c r="B48" s="14"/>
      <c r="C48" s="95">
        <f>C47+1</f>
        <v>5</v>
      </c>
      <c r="D48" t="s" s="67">
        <v>64</v>
      </c>
      <c r="E48" s="17"/>
      <c r="F48" s="79"/>
      <c r="G48" s="83"/>
      <c r="H48" s="48"/>
      <c r="I48" s="84"/>
      <c r="J48" s="83"/>
      <c r="K48" s="47"/>
      <c r="L48" s="47"/>
      <c r="M48" s="47"/>
      <c r="N48" s="47"/>
      <c r="O48" s="47"/>
      <c r="P48" s="49"/>
    </row>
    <row r="49" ht="33" customHeight="1">
      <c r="A49" s="10"/>
      <c r="B49" s="14"/>
      <c r="C49" s="95">
        <f>C48+1</f>
        <v>6</v>
      </c>
      <c r="D49" t="s" s="67">
        <v>65</v>
      </c>
      <c r="E49" s="17"/>
      <c r="F49" s="79"/>
      <c r="G49" s="87"/>
      <c r="H49" t="s" s="96">
        <v>66</v>
      </c>
      <c r="I49" s="89"/>
      <c r="J49" s="83"/>
      <c r="K49" s="47"/>
      <c r="L49" s="47"/>
      <c r="M49" s="47"/>
      <c r="N49" s="47"/>
      <c r="O49" s="47"/>
      <c r="P49" s="49"/>
    </row>
    <row r="50" ht="14.5" customHeight="1">
      <c r="A50" s="10"/>
      <c r="B50" s="14"/>
      <c r="C50" s="95">
        <f>C49+1</f>
        <v>7</v>
      </c>
      <c r="D50" t="s" s="67">
        <v>67</v>
      </c>
      <c r="E50" s="17"/>
      <c r="F50" s="14"/>
      <c r="G50" s="97"/>
      <c r="H50" s="98"/>
      <c r="I50" s="97"/>
      <c r="J50" s="47"/>
      <c r="K50" s="47"/>
      <c r="L50" s="47"/>
      <c r="M50" s="47"/>
      <c r="N50" s="47"/>
      <c r="O50" s="47"/>
      <c r="P50" s="49"/>
    </row>
    <row r="51" ht="14.5" customHeight="1">
      <c r="A51" s="10"/>
      <c r="B51" s="14"/>
      <c r="C51" s="95"/>
      <c r="D51" s="85"/>
      <c r="E51" s="17"/>
      <c r="F51" s="79"/>
      <c r="G51" s="80"/>
      <c r="H51" t="s" s="81">
        <v>68</v>
      </c>
      <c r="I51" s="82"/>
      <c r="J51" s="83"/>
      <c r="K51" s="47"/>
      <c r="L51" s="47"/>
      <c r="M51" s="47"/>
      <c r="N51" s="47"/>
      <c r="O51" s="47"/>
      <c r="P51" s="49"/>
    </row>
    <row r="52" ht="32" customHeight="1">
      <c r="A52" s="10"/>
      <c r="B52" s="14"/>
      <c r="C52" s="95">
        <f>C50+1</f>
        <v>8</v>
      </c>
      <c r="D52" t="s" s="67">
        <v>69</v>
      </c>
      <c r="E52" s="17"/>
      <c r="F52" s="79"/>
      <c r="G52" s="83"/>
      <c r="H52" t="s" s="67">
        <v>70</v>
      </c>
      <c r="I52" s="84"/>
      <c r="J52" s="83"/>
      <c r="K52" s="47"/>
      <c r="L52" s="47"/>
      <c r="M52" s="47"/>
      <c r="N52" s="47"/>
      <c r="O52" s="47"/>
      <c r="P52" s="49"/>
    </row>
    <row r="53" ht="64" customHeight="1">
      <c r="A53" s="10"/>
      <c r="B53" s="14"/>
      <c r="C53" s="95">
        <f>C52+1</f>
        <v>9</v>
      </c>
      <c r="D53" t="s" s="67">
        <v>71</v>
      </c>
      <c r="E53" s="17"/>
      <c r="F53" s="79"/>
      <c r="G53" s="83"/>
      <c r="H53" s="47"/>
      <c r="I53" s="84"/>
      <c r="J53" s="83"/>
      <c r="K53" s="47"/>
      <c r="L53" s="47"/>
      <c r="M53" s="47"/>
      <c r="N53" s="47"/>
      <c r="O53" s="47"/>
      <c r="P53" s="49"/>
    </row>
    <row r="54" ht="72" customHeight="1">
      <c r="A54" s="10"/>
      <c r="B54" s="14"/>
      <c r="C54" s="95">
        <f>C53+1</f>
        <v>10</v>
      </c>
      <c r="D54" t="s" s="67">
        <v>72</v>
      </c>
      <c r="E54" s="17"/>
      <c r="F54" s="79"/>
      <c r="G54" s="87"/>
      <c r="H54" s="88"/>
      <c r="I54" s="89"/>
      <c r="J54" s="83"/>
      <c r="K54" s="47"/>
      <c r="L54" s="47"/>
      <c r="M54" s="47"/>
      <c r="N54" s="47"/>
      <c r="O54" s="47"/>
      <c r="P54" s="49"/>
    </row>
    <row r="55" ht="16" customHeight="1">
      <c r="A55" s="10"/>
      <c r="B55" s="14"/>
      <c r="C55" s="95"/>
      <c r="D55" s="85"/>
      <c r="E55" s="17"/>
      <c r="F55" s="14"/>
      <c r="G55" s="97"/>
      <c r="H55" s="98"/>
      <c r="I55" s="97"/>
      <c r="J55" s="47"/>
      <c r="K55" s="47"/>
      <c r="L55" s="47"/>
      <c r="M55" s="47"/>
      <c r="N55" s="47"/>
      <c r="O55" s="47"/>
      <c r="P55" s="49"/>
    </row>
    <row r="56" ht="14.5" customHeight="1">
      <c r="A56" s="10"/>
      <c r="B56" s="14"/>
      <c r="C56" s="47"/>
      <c r="D56" s="85"/>
      <c r="E56" s="17"/>
      <c r="F56" s="79"/>
      <c r="G56" s="80"/>
      <c r="H56" t="s" s="81">
        <v>73</v>
      </c>
      <c r="I56" s="82"/>
      <c r="J56" s="83"/>
      <c r="K56" s="47"/>
      <c r="L56" s="47"/>
      <c r="M56" s="47"/>
      <c r="N56" s="47"/>
      <c r="O56" s="47"/>
      <c r="P56" s="49"/>
    </row>
    <row r="57" ht="32" customHeight="1">
      <c r="A57" s="10"/>
      <c r="B57" s="14"/>
      <c r="C57" s="95">
        <v>11</v>
      </c>
      <c r="D57" t="s" s="67">
        <v>74</v>
      </c>
      <c r="E57" s="17"/>
      <c r="F57" s="79"/>
      <c r="G57" s="83"/>
      <c r="H57" t="s" s="67">
        <v>75</v>
      </c>
      <c r="I57" s="84"/>
      <c r="J57" s="83"/>
      <c r="K57" s="47"/>
      <c r="L57" s="47"/>
      <c r="M57" s="47"/>
      <c r="N57" s="47"/>
      <c r="O57" s="47"/>
      <c r="P57" s="49"/>
    </row>
    <row r="58" ht="48" customHeight="1">
      <c r="A58" s="10"/>
      <c r="B58" s="14"/>
      <c r="C58" s="95">
        <f>C57+1</f>
        <v>12</v>
      </c>
      <c r="D58" t="s" s="67">
        <v>76</v>
      </c>
      <c r="E58" s="17"/>
      <c r="F58" s="79"/>
      <c r="G58" s="83"/>
      <c r="H58" s="85"/>
      <c r="I58" s="84"/>
      <c r="J58" s="83"/>
      <c r="K58" s="47"/>
      <c r="L58" s="47"/>
      <c r="M58" s="47"/>
      <c r="N58" s="47"/>
      <c r="O58" s="47"/>
      <c r="P58" s="49"/>
    </row>
    <row r="59" ht="34" customHeight="1">
      <c r="A59" s="10"/>
      <c r="B59" s="14"/>
      <c r="C59" s="95">
        <f>C58+1</f>
        <v>13</v>
      </c>
      <c r="D59" t="s" s="27">
        <v>77</v>
      </c>
      <c r="E59" s="17"/>
      <c r="F59" s="79"/>
      <c r="G59" s="83"/>
      <c r="H59" s="47"/>
      <c r="I59" s="84"/>
      <c r="J59" s="83"/>
      <c r="K59" s="47"/>
      <c r="L59" s="47"/>
      <c r="M59" s="47"/>
      <c r="N59" s="47"/>
      <c r="O59" s="47"/>
      <c r="P59" s="49"/>
    </row>
    <row r="60" ht="32" customHeight="1">
      <c r="A60" s="10"/>
      <c r="B60" s="14"/>
      <c r="C60" s="95">
        <f>C59+1</f>
        <v>14</v>
      </c>
      <c r="D60" t="s" s="67">
        <v>78</v>
      </c>
      <c r="E60" s="17"/>
      <c r="F60" s="79"/>
      <c r="G60" s="83"/>
      <c r="H60" s="48"/>
      <c r="I60" s="84"/>
      <c r="J60" s="83"/>
      <c r="K60" s="47"/>
      <c r="L60" s="47"/>
      <c r="M60" s="47"/>
      <c r="N60" s="47"/>
      <c r="O60" s="47"/>
      <c r="P60" s="49"/>
    </row>
    <row r="61" ht="65" customHeight="1">
      <c r="A61" s="10"/>
      <c r="B61" s="14"/>
      <c r="C61" s="95">
        <f>C60+1</f>
        <v>15</v>
      </c>
      <c r="D61" t="s" s="67">
        <v>79</v>
      </c>
      <c r="E61" s="17"/>
      <c r="F61" s="79"/>
      <c r="G61" s="87"/>
      <c r="H61" s="88"/>
      <c r="I61" s="89"/>
      <c r="J61" s="83"/>
      <c r="K61" s="47"/>
      <c r="L61" s="47"/>
      <c r="M61" s="47"/>
      <c r="N61" s="47"/>
      <c r="O61" s="47"/>
      <c r="P61" s="49"/>
    </row>
    <row r="62" ht="14.5" customHeight="1">
      <c r="A62" s="10"/>
      <c r="B62" s="14"/>
      <c r="C62" s="95">
        <f>C61+1</f>
        <v>16</v>
      </c>
      <c r="D62" t="s" s="67">
        <v>80</v>
      </c>
      <c r="E62" s="17"/>
      <c r="F62" s="14"/>
      <c r="G62" s="97"/>
      <c r="H62" s="98"/>
      <c r="I62" s="97"/>
      <c r="J62" s="47"/>
      <c r="K62" s="47"/>
      <c r="L62" s="47"/>
      <c r="M62" s="47"/>
      <c r="N62" s="47"/>
      <c r="O62" s="47"/>
      <c r="P62" s="49"/>
    </row>
    <row r="63" ht="14.5" customHeight="1">
      <c r="A63" s="10"/>
      <c r="B63" s="14"/>
      <c r="C63" s="95"/>
      <c r="D63" s="85"/>
      <c r="E63" s="17"/>
      <c r="F63" s="79"/>
      <c r="G63" s="80"/>
      <c r="H63" t="s" s="81">
        <v>81</v>
      </c>
      <c r="I63" s="82"/>
      <c r="J63" s="83"/>
      <c r="K63" s="47"/>
      <c r="L63" s="47"/>
      <c r="M63" s="47"/>
      <c r="N63" s="47"/>
      <c r="O63" s="47"/>
      <c r="P63" s="49"/>
    </row>
    <row r="64" ht="28.75" customHeight="1">
      <c r="A64" s="10"/>
      <c r="B64" s="14"/>
      <c r="C64" s="95">
        <f>C62+1</f>
        <v>17</v>
      </c>
      <c r="D64" t="s" s="67">
        <v>82</v>
      </c>
      <c r="E64" s="17"/>
      <c r="F64" s="79"/>
      <c r="G64" s="83"/>
      <c r="H64" t="s" s="67">
        <v>83</v>
      </c>
      <c r="I64" s="84"/>
      <c r="J64" s="83"/>
      <c r="K64" s="47"/>
      <c r="L64" s="47"/>
      <c r="M64" s="47"/>
      <c r="N64" s="47"/>
      <c r="O64" s="47"/>
      <c r="P64" s="49"/>
    </row>
    <row r="65" ht="14.5" customHeight="1">
      <c r="A65" s="10"/>
      <c r="B65" s="14"/>
      <c r="C65" s="95">
        <f>C64+1</f>
        <v>18</v>
      </c>
      <c r="D65" t="s" s="94">
        <v>84</v>
      </c>
      <c r="E65" s="17"/>
      <c r="F65" s="79"/>
      <c r="G65" s="83"/>
      <c r="H65" s="85"/>
      <c r="I65" s="84"/>
      <c r="J65" s="83"/>
      <c r="K65" s="47"/>
      <c r="L65" s="47"/>
      <c r="M65" s="47"/>
      <c r="N65" s="47"/>
      <c r="O65" s="47"/>
      <c r="P65" s="49"/>
    </row>
    <row r="66" ht="64" customHeight="1">
      <c r="A66" s="10"/>
      <c r="B66" s="14"/>
      <c r="C66" s="95">
        <f>C65+1</f>
        <v>19</v>
      </c>
      <c r="D66" t="s" s="67">
        <v>85</v>
      </c>
      <c r="E66" s="17"/>
      <c r="F66" s="79"/>
      <c r="G66" s="83"/>
      <c r="H66" s="48"/>
      <c r="I66" s="84"/>
      <c r="J66" s="83"/>
      <c r="K66" s="47"/>
      <c r="L66" s="47"/>
      <c r="M66" s="47"/>
      <c r="N66" s="47"/>
      <c r="O66" s="47"/>
      <c r="P66" s="49"/>
    </row>
    <row r="67" ht="48" customHeight="1">
      <c r="A67" s="10"/>
      <c r="B67" s="14"/>
      <c r="C67" s="95">
        <f>C66+1</f>
        <v>20</v>
      </c>
      <c r="D67" t="s" s="67">
        <v>86</v>
      </c>
      <c r="E67" s="17"/>
      <c r="F67" s="79"/>
      <c r="G67" s="83"/>
      <c r="H67" s="47"/>
      <c r="I67" s="84"/>
      <c r="J67" s="83"/>
      <c r="K67" s="47"/>
      <c r="L67" s="47"/>
      <c r="M67" s="47"/>
      <c r="N67" s="47"/>
      <c r="O67" s="47"/>
      <c r="P67" s="49"/>
    </row>
    <row r="68" ht="32" customHeight="1">
      <c r="A68" s="10"/>
      <c r="B68" s="14"/>
      <c r="C68" s="95">
        <f>C67+1</f>
        <v>21</v>
      </c>
      <c r="D68" t="s" s="67">
        <v>87</v>
      </c>
      <c r="E68" s="17"/>
      <c r="F68" s="79"/>
      <c r="G68" s="83"/>
      <c r="H68" s="47"/>
      <c r="I68" s="84"/>
      <c r="J68" s="83"/>
      <c r="K68" s="47"/>
      <c r="L68" s="47"/>
      <c r="M68" s="47"/>
      <c r="N68" s="47"/>
      <c r="O68" s="47"/>
      <c r="P68" s="49"/>
    </row>
    <row r="69" ht="49" customHeight="1">
      <c r="A69" s="10"/>
      <c r="B69" s="14"/>
      <c r="C69" s="95">
        <f>C68+1</f>
        <v>22</v>
      </c>
      <c r="D69" t="s" s="67">
        <v>88</v>
      </c>
      <c r="E69" s="17"/>
      <c r="F69" s="79"/>
      <c r="G69" s="87"/>
      <c r="H69" s="88"/>
      <c r="I69" s="89"/>
      <c r="J69" s="83"/>
      <c r="K69" s="47"/>
      <c r="L69" s="47"/>
      <c r="M69" s="47"/>
      <c r="N69" s="47"/>
      <c r="O69" s="47"/>
      <c r="P69" s="49"/>
    </row>
    <row r="70" ht="14.5" customHeight="1">
      <c r="A70" s="10"/>
      <c r="B70" s="14"/>
      <c r="C70" s="95">
        <f>C69+1</f>
        <v>23</v>
      </c>
      <c r="D70" t="s" s="67">
        <v>89</v>
      </c>
      <c r="E70" s="17"/>
      <c r="F70" s="14"/>
      <c r="G70" s="97"/>
      <c r="H70" s="97"/>
      <c r="I70" s="97"/>
      <c r="J70" s="47"/>
      <c r="K70" s="47"/>
      <c r="L70" s="47"/>
      <c r="M70" s="47"/>
      <c r="N70" s="47"/>
      <c r="O70" s="47"/>
      <c r="P70" s="49"/>
    </row>
    <row r="71" ht="14.5" customHeight="1">
      <c r="A71" s="10"/>
      <c r="B71" s="14"/>
      <c r="C71" s="95"/>
      <c r="D71" s="85"/>
      <c r="E71" s="17"/>
      <c r="F71" s="79"/>
      <c r="G71" s="80"/>
      <c r="H71" t="s" s="81">
        <v>90</v>
      </c>
      <c r="I71" s="82"/>
      <c r="J71" s="83"/>
      <c r="K71" s="47"/>
      <c r="L71" s="47"/>
      <c r="M71" s="47"/>
      <c r="N71" s="47"/>
      <c r="O71" s="47"/>
      <c r="P71" s="49"/>
    </row>
    <row r="72" ht="28.75" customHeight="1">
      <c r="A72" s="10"/>
      <c r="B72" s="14"/>
      <c r="C72" s="95"/>
      <c r="D72" s="85"/>
      <c r="E72" s="17"/>
      <c r="F72" s="79"/>
      <c r="G72" s="83"/>
      <c r="H72" t="s" s="99">
        <v>91</v>
      </c>
      <c r="I72" s="84"/>
      <c r="J72" s="83"/>
      <c r="K72" s="47"/>
      <c r="L72" s="47"/>
      <c r="M72" s="47"/>
      <c r="N72" s="47"/>
      <c r="O72" s="47"/>
      <c r="P72" s="49"/>
    </row>
    <row r="73" ht="14.5" customHeight="1">
      <c r="A73" s="10"/>
      <c r="B73" s="14"/>
      <c r="C73" s="95">
        <f>C70+1</f>
        <v>24</v>
      </c>
      <c r="D73" t="s" s="67">
        <v>92</v>
      </c>
      <c r="E73" s="17"/>
      <c r="F73" s="79"/>
      <c r="G73" s="83"/>
      <c r="H73" s="85"/>
      <c r="I73" s="84"/>
      <c r="J73" s="83"/>
      <c r="K73" s="47"/>
      <c r="L73" s="47"/>
      <c r="M73" s="47"/>
      <c r="N73" s="47"/>
      <c r="O73" s="47"/>
      <c r="P73" s="49"/>
    </row>
    <row r="74" ht="32" customHeight="1">
      <c r="A74" s="10"/>
      <c r="B74" s="14"/>
      <c r="C74" s="95">
        <f>C73+1</f>
        <v>25</v>
      </c>
      <c r="D74" t="s" s="67">
        <v>93</v>
      </c>
      <c r="E74" s="17"/>
      <c r="F74" s="79"/>
      <c r="G74" s="83"/>
      <c r="H74" s="85"/>
      <c r="I74" s="84"/>
      <c r="J74" s="83"/>
      <c r="K74" s="47"/>
      <c r="L74" s="47"/>
      <c r="M74" s="47"/>
      <c r="N74" s="47"/>
      <c r="O74" s="47"/>
      <c r="P74" s="49"/>
    </row>
    <row r="75" ht="16" customHeight="1">
      <c r="A75" s="10"/>
      <c r="B75" s="14"/>
      <c r="C75" s="95">
        <f>C74+1</f>
        <v>26</v>
      </c>
      <c r="D75" t="s" s="67">
        <v>94</v>
      </c>
      <c r="E75" s="17"/>
      <c r="F75" s="79"/>
      <c r="G75" s="83"/>
      <c r="H75" s="47"/>
      <c r="I75" s="84"/>
      <c r="J75" s="83"/>
      <c r="K75" s="47"/>
      <c r="L75" s="47"/>
      <c r="M75" s="47"/>
      <c r="N75" s="47"/>
      <c r="O75" s="47"/>
      <c r="P75" s="49"/>
    </row>
    <row r="76" ht="16.25" customHeight="1">
      <c r="A76" s="10"/>
      <c r="B76" s="14"/>
      <c r="C76" s="95">
        <f>C75+1</f>
        <v>27</v>
      </c>
      <c r="D76" t="s" s="67">
        <v>95</v>
      </c>
      <c r="E76" s="17"/>
      <c r="F76" s="79"/>
      <c r="G76" s="83"/>
      <c r="H76" s="48"/>
      <c r="I76" s="84"/>
      <c r="J76" s="83"/>
      <c r="K76" s="47"/>
      <c r="L76" s="47"/>
      <c r="M76" s="47"/>
      <c r="N76" s="47"/>
      <c r="O76" s="47"/>
      <c r="P76" s="49"/>
    </row>
    <row r="77" ht="14.5" customHeight="1">
      <c r="A77" s="10"/>
      <c r="B77" s="14"/>
      <c r="C77" s="95"/>
      <c r="D77" s="85"/>
      <c r="E77" s="17"/>
      <c r="F77" s="79"/>
      <c r="G77" s="83"/>
      <c r="H77" s="48"/>
      <c r="I77" s="84"/>
      <c r="J77" s="83"/>
      <c r="K77" s="47"/>
      <c r="L77" s="47"/>
      <c r="M77" s="47"/>
      <c r="N77" s="47"/>
      <c r="O77" s="47"/>
      <c r="P77" s="49"/>
    </row>
    <row r="78" ht="48" customHeight="1">
      <c r="A78" s="10"/>
      <c r="B78" s="14"/>
      <c r="C78" s="95">
        <f>C76+1</f>
        <v>28</v>
      </c>
      <c r="D78" t="s" s="67">
        <v>96</v>
      </c>
      <c r="E78" s="17"/>
      <c r="F78" s="79"/>
      <c r="G78" s="83"/>
      <c r="H78" s="47"/>
      <c r="I78" s="84"/>
      <c r="J78" s="83"/>
      <c r="K78" s="47"/>
      <c r="L78" s="47"/>
      <c r="M78" s="47"/>
      <c r="N78" s="47"/>
      <c r="O78" s="47"/>
      <c r="P78" s="49"/>
    </row>
    <row r="79" ht="28.75" customHeight="1">
      <c r="A79" s="10"/>
      <c r="B79" s="14"/>
      <c r="C79" s="95">
        <f>C78+1</f>
        <v>29</v>
      </c>
      <c r="D79" t="s" s="67">
        <v>97</v>
      </c>
      <c r="E79" s="17"/>
      <c r="F79" s="79"/>
      <c r="G79" s="83"/>
      <c r="H79" s="48"/>
      <c r="I79" s="84"/>
      <c r="J79" s="83"/>
      <c r="K79" s="47"/>
      <c r="L79" s="47"/>
      <c r="M79" s="47"/>
      <c r="N79" s="47"/>
      <c r="O79" s="47"/>
      <c r="P79" s="49"/>
    </row>
    <row r="80" ht="28.75" customHeight="1">
      <c r="A80" s="10"/>
      <c r="B80" s="14"/>
      <c r="C80" s="95"/>
      <c r="D80" s="85"/>
      <c r="E80" s="17"/>
      <c r="F80" s="79"/>
      <c r="G80" s="83"/>
      <c r="H80" t="s" s="67">
        <v>98</v>
      </c>
      <c r="I80" s="84"/>
      <c r="J80" s="83"/>
      <c r="K80" s="47"/>
      <c r="L80" s="47"/>
      <c r="M80" s="47"/>
      <c r="N80" s="47"/>
      <c r="O80" s="47"/>
      <c r="P80" s="49"/>
    </row>
    <row r="81" ht="48" customHeight="1">
      <c r="A81" s="10"/>
      <c r="B81" s="14"/>
      <c r="C81" s="95">
        <f>C79+1</f>
        <v>30</v>
      </c>
      <c r="D81" t="s" s="67">
        <v>99</v>
      </c>
      <c r="E81" s="17"/>
      <c r="F81" s="79"/>
      <c r="G81" s="83"/>
      <c r="H81" t="s" s="27">
        <v>100</v>
      </c>
      <c r="I81" s="84"/>
      <c r="J81" s="83"/>
      <c r="K81" s="47"/>
      <c r="L81" s="47"/>
      <c r="M81" s="47"/>
      <c r="N81" s="47"/>
      <c r="O81" s="47"/>
      <c r="P81" s="49"/>
    </row>
    <row r="82" ht="32" customHeight="1">
      <c r="A82" s="10"/>
      <c r="B82" s="14"/>
      <c r="C82" s="95">
        <f>C81+1</f>
        <v>31</v>
      </c>
      <c r="D82" t="s" s="67">
        <v>101</v>
      </c>
      <c r="E82" s="17"/>
      <c r="F82" s="79"/>
      <c r="G82" s="83"/>
      <c r="H82" s="28"/>
      <c r="I82" s="84"/>
      <c r="J82" s="83"/>
      <c r="K82" s="47"/>
      <c r="L82" s="47"/>
      <c r="M82" s="47"/>
      <c r="N82" s="47"/>
      <c r="O82" s="47"/>
      <c r="P82" s="49"/>
    </row>
    <row r="83" ht="43.25" customHeight="1">
      <c r="A83" s="10"/>
      <c r="B83" s="14"/>
      <c r="C83" s="95">
        <f>C82+1</f>
        <v>32</v>
      </c>
      <c r="D83" t="s" s="67">
        <v>102</v>
      </c>
      <c r="E83" s="17"/>
      <c r="F83" s="79"/>
      <c r="G83" s="87"/>
      <c r="H83" s="100"/>
      <c r="I83" s="89"/>
      <c r="J83" s="83"/>
      <c r="K83" s="47"/>
      <c r="L83" s="47"/>
      <c r="M83" s="47"/>
      <c r="N83" s="47"/>
      <c r="O83" s="47"/>
      <c r="P83" s="49"/>
    </row>
    <row r="84" ht="16" customHeight="1">
      <c r="A84" s="10"/>
      <c r="B84" s="14"/>
      <c r="C84" s="95"/>
      <c r="D84" s="85"/>
      <c r="E84" s="17"/>
      <c r="F84" s="14"/>
      <c r="G84" s="97"/>
      <c r="H84" s="98"/>
      <c r="I84" s="97"/>
      <c r="J84" s="47"/>
      <c r="K84" s="47"/>
      <c r="L84" s="47"/>
      <c r="M84" s="47"/>
      <c r="N84" s="47"/>
      <c r="O84" s="47"/>
      <c r="P84" s="49"/>
    </row>
    <row r="85" ht="14.5" customHeight="1">
      <c r="A85" s="10"/>
      <c r="B85" s="14"/>
      <c r="C85" s="95">
        <f>C83+1</f>
        <v>33</v>
      </c>
      <c r="D85" t="s" s="67">
        <v>103</v>
      </c>
      <c r="E85" s="17"/>
      <c r="F85" s="79"/>
      <c r="G85" s="80"/>
      <c r="H85" t="s" s="81">
        <v>104</v>
      </c>
      <c r="I85" s="82"/>
      <c r="J85" s="83"/>
      <c r="K85" s="47"/>
      <c r="L85" s="47"/>
      <c r="M85" s="47"/>
      <c r="N85" s="47"/>
      <c r="O85" s="47"/>
      <c r="P85" s="49"/>
    </row>
    <row r="86" ht="14.5" customHeight="1">
      <c r="A86" s="10"/>
      <c r="B86" s="14"/>
      <c r="C86" s="47"/>
      <c r="D86" s="85"/>
      <c r="E86" s="17"/>
      <c r="F86" s="79"/>
      <c r="G86" s="83"/>
      <c r="H86" t="s" s="67">
        <v>105</v>
      </c>
      <c r="I86" s="84"/>
      <c r="J86" s="83"/>
      <c r="K86" s="47"/>
      <c r="L86" s="47"/>
      <c r="M86" s="47"/>
      <c r="N86" s="47"/>
      <c r="O86" s="47"/>
      <c r="P86" s="49"/>
    </row>
    <row r="87" ht="16" customHeight="1">
      <c r="A87" s="10"/>
      <c r="B87" s="14"/>
      <c r="C87" s="95">
        <f>C85+1</f>
        <v>34</v>
      </c>
      <c r="D87" t="s" s="67">
        <v>47</v>
      </c>
      <c r="E87" s="17"/>
      <c r="F87" s="79"/>
      <c r="G87" s="83"/>
      <c r="H87" s="85"/>
      <c r="I87" s="84"/>
      <c r="J87" s="83"/>
      <c r="K87" s="47"/>
      <c r="L87" s="47"/>
      <c r="M87" s="47"/>
      <c r="N87" s="47"/>
      <c r="O87" s="47"/>
      <c r="P87" s="49"/>
    </row>
    <row r="88" ht="32" customHeight="1">
      <c r="A88" s="10"/>
      <c r="B88" s="14"/>
      <c r="C88" s="95">
        <f>C87+1</f>
        <v>35</v>
      </c>
      <c r="D88" t="s" s="67">
        <v>106</v>
      </c>
      <c r="E88" s="17"/>
      <c r="F88" s="79"/>
      <c r="G88" s="83"/>
      <c r="H88" s="101"/>
      <c r="I88" s="84"/>
      <c r="J88" s="83"/>
      <c r="K88" s="47"/>
      <c r="L88" s="47"/>
      <c r="M88" s="47"/>
      <c r="N88" s="47"/>
      <c r="O88" s="47"/>
      <c r="P88" s="49"/>
    </row>
    <row r="89" ht="16" customHeight="1">
      <c r="A89" s="10"/>
      <c r="B89" s="14"/>
      <c r="C89" s="95">
        <f>C88+1</f>
        <v>36</v>
      </c>
      <c r="D89" t="s" s="67">
        <v>52</v>
      </c>
      <c r="E89" s="17"/>
      <c r="F89" s="79"/>
      <c r="G89" s="83"/>
      <c r="H89" s="101"/>
      <c r="I89" s="84"/>
      <c r="J89" s="83"/>
      <c r="K89" s="47"/>
      <c r="L89" s="47"/>
      <c r="M89" s="47"/>
      <c r="N89" s="47"/>
      <c r="O89" s="47"/>
      <c r="P89" s="49"/>
    </row>
    <row r="90" ht="9" customHeight="1">
      <c r="A90" s="10"/>
      <c r="B90" s="39"/>
      <c r="C90" s="102"/>
      <c r="D90" s="103"/>
      <c r="E90" s="41"/>
      <c r="F90" s="79"/>
      <c r="G90" s="83"/>
      <c r="H90" s="85"/>
      <c r="I90" s="84"/>
      <c r="J90" s="83"/>
      <c r="K90" s="47"/>
      <c r="L90" s="47"/>
      <c r="M90" s="47"/>
      <c r="N90" s="47"/>
      <c r="O90" s="47"/>
      <c r="P90" s="49"/>
    </row>
    <row r="91" ht="15" customHeight="1">
      <c r="A91" s="46"/>
      <c r="B91" s="12"/>
      <c r="C91" s="104"/>
      <c r="D91" s="105"/>
      <c r="E91" s="12"/>
      <c r="F91" s="84"/>
      <c r="G91" s="83"/>
      <c r="H91" s="48"/>
      <c r="I91" s="84"/>
      <c r="J91" s="83"/>
      <c r="K91" s="47"/>
      <c r="L91" s="47"/>
      <c r="M91" s="47"/>
      <c r="N91" s="47"/>
      <c r="O91" s="47"/>
      <c r="P91" s="49"/>
    </row>
    <row r="92" ht="15" customHeight="1">
      <c r="A92" s="46"/>
      <c r="B92" s="47"/>
      <c r="C92" s="95"/>
      <c r="D92" s="85"/>
      <c r="E92" s="47"/>
      <c r="F92" s="84"/>
      <c r="G92" s="83"/>
      <c r="H92" s="47"/>
      <c r="I92" s="84"/>
      <c r="J92" s="83"/>
      <c r="K92" s="47"/>
      <c r="L92" s="47"/>
      <c r="M92" s="47"/>
      <c r="N92" s="47"/>
      <c r="O92" s="47"/>
      <c r="P92" s="49"/>
    </row>
    <row r="93" ht="16" customHeight="1">
      <c r="A93" s="46"/>
      <c r="B93" s="47"/>
      <c r="C93" s="95"/>
      <c r="D93" s="47"/>
      <c r="E93" s="47"/>
      <c r="F93" s="84"/>
      <c r="G93" s="87"/>
      <c r="H93" s="106"/>
      <c r="I93" s="89"/>
      <c r="J93" s="83"/>
      <c r="K93" s="47"/>
      <c r="L93" s="47"/>
      <c r="M93" s="47"/>
      <c r="N93" s="47"/>
      <c r="O93" s="47"/>
      <c r="P93" s="49"/>
    </row>
    <row r="94" ht="16" customHeight="1">
      <c r="A94" s="46"/>
      <c r="B94" s="47"/>
      <c r="C94" s="95"/>
      <c r="D94" s="47"/>
      <c r="E94" s="47"/>
      <c r="F94" s="47"/>
      <c r="G94" s="97"/>
      <c r="H94" s="97"/>
      <c r="I94" s="97"/>
      <c r="J94" s="47"/>
      <c r="K94" s="47"/>
      <c r="L94" s="47"/>
      <c r="M94" s="47"/>
      <c r="N94" s="47"/>
      <c r="O94" s="47"/>
      <c r="P94" s="49"/>
    </row>
    <row r="95" ht="15" customHeight="1">
      <c r="A95" s="46"/>
      <c r="B95" s="47"/>
      <c r="C95" s="95"/>
      <c r="D95" s="85"/>
      <c r="E95" s="47"/>
      <c r="F95" s="84"/>
      <c r="G95" s="80"/>
      <c r="H95" t="s" s="81">
        <v>107</v>
      </c>
      <c r="I95" s="82"/>
      <c r="J95" s="83"/>
      <c r="K95" s="47"/>
      <c r="L95" s="47"/>
      <c r="M95" s="47"/>
      <c r="N95" s="47"/>
      <c r="O95" s="47"/>
      <c r="P95" s="49"/>
    </row>
    <row r="96" ht="14.5" customHeight="1">
      <c r="A96" s="46"/>
      <c r="B96" s="47"/>
      <c r="C96" s="95"/>
      <c r="D96" s="85"/>
      <c r="E96" s="47"/>
      <c r="F96" s="84"/>
      <c r="G96" s="83"/>
      <c r="H96" t="s" s="67">
        <v>108</v>
      </c>
      <c r="I96" s="84"/>
      <c r="J96" s="83"/>
      <c r="K96" s="47"/>
      <c r="L96" s="47"/>
      <c r="M96" s="47"/>
      <c r="N96" s="47"/>
      <c r="O96" s="47"/>
      <c r="P96" s="49"/>
    </row>
    <row r="97" ht="14.5" customHeight="1">
      <c r="A97" s="46"/>
      <c r="B97" s="47"/>
      <c r="C97" s="95"/>
      <c r="D97" s="85"/>
      <c r="E97" s="47"/>
      <c r="F97" s="84"/>
      <c r="G97" s="83"/>
      <c r="H97" s="85"/>
      <c r="I97" s="84"/>
      <c r="J97" s="83"/>
      <c r="K97" s="47"/>
      <c r="L97" s="47"/>
      <c r="M97" s="47"/>
      <c r="N97" s="47"/>
      <c r="O97" s="47"/>
      <c r="P97" s="49"/>
    </row>
    <row r="98" ht="15" customHeight="1">
      <c r="A98" s="46"/>
      <c r="B98" s="47"/>
      <c r="C98" s="95"/>
      <c r="D98" s="85"/>
      <c r="E98" s="47"/>
      <c r="F98" s="84"/>
      <c r="G98" s="83"/>
      <c r="H98" s="101"/>
      <c r="I98" s="84"/>
      <c r="J98" s="83"/>
      <c r="K98" s="47"/>
      <c r="L98" s="47"/>
      <c r="M98" s="47"/>
      <c r="N98" s="47"/>
      <c r="O98" s="47"/>
      <c r="P98" s="49"/>
    </row>
    <row r="99" ht="15" customHeight="1">
      <c r="A99" s="46"/>
      <c r="B99" s="47"/>
      <c r="C99" s="95"/>
      <c r="D99" s="85"/>
      <c r="E99" s="47"/>
      <c r="F99" s="84"/>
      <c r="G99" s="83"/>
      <c r="H99" s="101"/>
      <c r="I99" s="84"/>
      <c r="J99" s="83"/>
      <c r="K99" s="47"/>
      <c r="L99" s="47"/>
      <c r="M99" s="47"/>
      <c r="N99" s="47"/>
      <c r="O99" s="47"/>
      <c r="P99" s="49"/>
    </row>
    <row r="100" ht="17.5" customHeight="1">
      <c r="A100" s="46"/>
      <c r="B100" s="47"/>
      <c r="C100" s="95"/>
      <c r="D100" s="85"/>
      <c r="E100" s="47"/>
      <c r="F100" s="84"/>
      <c r="G100" s="83"/>
      <c r="H100" s="85"/>
      <c r="I100" s="84"/>
      <c r="J100" s="83"/>
      <c r="K100" s="47"/>
      <c r="L100" s="47"/>
      <c r="M100" s="47"/>
      <c r="N100" s="47"/>
      <c r="O100" s="47"/>
      <c r="P100" s="49"/>
    </row>
    <row r="101" ht="15" customHeight="1">
      <c r="A101" s="46"/>
      <c r="B101" s="47"/>
      <c r="C101" s="95"/>
      <c r="D101" s="85"/>
      <c r="E101" s="47"/>
      <c r="F101" s="84"/>
      <c r="G101" s="83"/>
      <c r="H101" s="48"/>
      <c r="I101" s="84"/>
      <c r="J101" s="83"/>
      <c r="K101" s="47"/>
      <c r="L101" s="47"/>
      <c r="M101" s="47"/>
      <c r="N101" s="47"/>
      <c r="O101" s="47"/>
      <c r="P101" s="49"/>
    </row>
    <row r="102" ht="15" customHeight="1">
      <c r="A102" s="46"/>
      <c r="B102" s="47"/>
      <c r="C102" s="95"/>
      <c r="D102" s="85"/>
      <c r="E102" s="47"/>
      <c r="F102" s="84"/>
      <c r="G102" s="83"/>
      <c r="H102" s="47"/>
      <c r="I102" s="84"/>
      <c r="J102" s="83"/>
      <c r="K102" s="47"/>
      <c r="L102" s="47"/>
      <c r="M102" s="47"/>
      <c r="N102" s="47"/>
      <c r="O102" s="47"/>
      <c r="P102" s="49"/>
    </row>
    <row r="103" ht="16" customHeight="1">
      <c r="A103" s="46"/>
      <c r="B103" s="47"/>
      <c r="C103" s="95"/>
      <c r="D103" s="47"/>
      <c r="E103" s="47"/>
      <c r="F103" s="84"/>
      <c r="G103" s="87"/>
      <c r="H103" s="106"/>
      <c r="I103" s="89"/>
      <c r="J103" s="83"/>
      <c r="K103" s="47"/>
      <c r="L103" s="47"/>
      <c r="M103" s="47"/>
      <c r="N103" s="47"/>
      <c r="O103" s="47"/>
      <c r="P103" s="49"/>
    </row>
    <row r="104" ht="16" customHeight="1">
      <c r="A104" s="46"/>
      <c r="B104" s="47"/>
      <c r="C104" s="95"/>
      <c r="D104" s="85"/>
      <c r="E104" s="47"/>
      <c r="F104" s="47"/>
      <c r="G104" s="97"/>
      <c r="H104" s="97"/>
      <c r="I104" s="97"/>
      <c r="J104" s="47"/>
      <c r="K104" s="47"/>
      <c r="L104" s="47"/>
      <c r="M104" s="47"/>
      <c r="N104" s="47"/>
      <c r="O104" s="47"/>
      <c r="P104" s="49"/>
    </row>
    <row r="105" ht="15" customHeight="1">
      <c r="A105" s="46"/>
      <c r="B105" s="47"/>
      <c r="C105" s="95"/>
      <c r="D105" s="85"/>
      <c r="E105" s="47"/>
      <c r="F105" s="84"/>
      <c r="G105" s="80"/>
      <c r="H105" t="s" s="81">
        <v>109</v>
      </c>
      <c r="I105" s="82"/>
      <c r="J105" s="83"/>
      <c r="K105" s="47"/>
      <c r="L105" s="47"/>
      <c r="M105" s="47"/>
      <c r="N105" s="47"/>
      <c r="O105" s="47"/>
      <c r="P105" s="49"/>
    </row>
    <row r="106" ht="80" customHeight="1">
      <c r="A106" s="46"/>
      <c r="B106" s="47"/>
      <c r="C106" s="47"/>
      <c r="D106" s="47"/>
      <c r="E106" s="47"/>
      <c r="F106" s="84"/>
      <c r="G106" s="83"/>
      <c r="H106" t="s" s="99">
        <v>110</v>
      </c>
      <c r="I106" s="84"/>
      <c r="J106" s="83"/>
      <c r="K106" s="47"/>
      <c r="L106" s="47"/>
      <c r="M106" s="47"/>
      <c r="N106" s="47"/>
      <c r="O106" s="47"/>
      <c r="P106" s="49"/>
    </row>
    <row r="107" ht="15" customHeight="1">
      <c r="A107" s="46"/>
      <c r="B107" s="47"/>
      <c r="C107" s="47"/>
      <c r="D107" s="47"/>
      <c r="E107" s="47"/>
      <c r="F107" s="84"/>
      <c r="G107" s="83"/>
      <c r="H107" s="48"/>
      <c r="I107" s="84"/>
      <c r="J107" s="83"/>
      <c r="K107" s="47"/>
      <c r="L107" s="47"/>
      <c r="M107" s="47"/>
      <c r="N107" s="47"/>
      <c r="O107" s="47"/>
      <c r="P107" s="49"/>
    </row>
    <row r="108" ht="15" customHeight="1">
      <c r="A108" s="46"/>
      <c r="B108" s="47"/>
      <c r="C108" s="47"/>
      <c r="D108" s="47"/>
      <c r="E108" s="47"/>
      <c r="F108" s="84"/>
      <c r="G108" s="83"/>
      <c r="H108" s="85"/>
      <c r="I108" s="84"/>
      <c r="J108" s="83"/>
      <c r="K108" s="47"/>
      <c r="L108" s="47"/>
      <c r="M108" s="47"/>
      <c r="N108" s="47"/>
      <c r="O108" s="47"/>
      <c r="P108" s="49"/>
    </row>
    <row r="109" ht="15" customHeight="1">
      <c r="A109" s="46"/>
      <c r="B109" s="47"/>
      <c r="C109" s="47"/>
      <c r="D109" s="47"/>
      <c r="E109" s="47"/>
      <c r="F109" s="84"/>
      <c r="G109" s="83"/>
      <c r="H109" s="48"/>
      <c r="I109" s="84"/>
      <c r="J109" s="83"/>
      <c r="K109" s="47"/>
      <c r="L109" s="47"/>
      <c r="M109" s="47"/>
      <c r="N109" s="47"/>
      <c r="O109" s="47"/>
      <c r="P109" s="49"/>
    </row>
    <row r="110" ht="15" customHeight="1">
      <c r="A110" s="46"/>
      <c r="B110" s="47"/>
      <c r="C110" s="47"/>
      <c r="D110" s="47"/>
      <c r="E110" s="47"/>
      <c r="F110" s="84"/>
      <c r="G110" s="83"/>
      <c r="H110" s="48"/>
      <c r="I110" s="84"/>
      <c r="J110" s="83"/>
      <c r="K110" s="47"/>
      <c r="L110" s="47"/>
      <c r="M110" s="47"/>
      <c r="N110" s="47"/>
      <c r="O110" s="47"/>
      <c r="P110" s="49"/>
    </row>
    <row r="111" ht="15" customHeight="1">
      <c r="A111" s="46"/>
      <c r="B111" s="47"/>
      <c r="C111" s="47"/>
      <c r="D111" s="47"/>
      <c r="E111" s="47"/>
      <c r="F111" s="84"/>
      <c r="G111" s="83"/>
      <c r="H111" s="48"/>
      <c r="I111" s="84"/>
      <c r="J111" s="83"/>
      <c r="K111" s="47"/>
      <c r="L111" s="47"/>
      <c r="M111" s="47"/>
      <c r="N111" s="47"/>
      <c r="O111" s="47"/>
      <c r="P111" s="49"/>
    </row>
    <row r="112" ht="15" customHeight="1">
      <c r="A112" s="46"/>
      <c r="B112" s="47"/>
      <c r="C112" s="47"/>
      <c r="D112" s="47"/>
      <c r="E112" s="47"/>
      <c r="F112" s="84"/>
      <c r="G112" s="83"/>
      <c r="H112" s="48"/>
      <c r="I112" s="84"/>
      <c r="J112" s="83"/>
      <c r="K112" s="47"/>
      <c r="L112" s="47"/>
      <c r="M112" s="47"/>
      <c r="N112" s="47"/>
      <c r="O112" s="47"/>
      <c r="P112" s="49"/>
    </row>
    <row r="113" ht="15" customHeight="1">
      <c r="A113" s="46"/>
      <c r="B113" s="47"/>
      <c r="C113" s="47"/>
      <c r="D113" s="47"/>
      <c r="E113" s="47"/>
      <c r="F113" s="84"/>
      <c r="G113" s="83"/>
      <c r="H113" s="48"/>
      <c r="I113" s="84"/>
      <c r="J113" s="83"/>
      <c r="K113" s="47"/>
      <c r="L113" s="47"/>
      <c r="M113" s="47"/>
      <c r="N113" s="47"/>
      <c r="O113" s="47"/>
      <c r="P113" s="49"/>
    </row>
    <row r="114" ht="15" customHeight="1">
      <c r="A114" s="46"/>
      <c r="B114" s="47"/>
      <c r="C114" s="47"/>
      <c r="D114" s="47"/>
      <c r="E114" s="47"/>
      <c r="F114" s="84"/>
      <c r="G114" s="83"/>
      <c r="H114" s="48"/>
      <c r="I114" s="84"/>
      <c r="J114" s="83"/>
      <c r="K114" s="47"/>
      <c r="L114" s="47"/>
      <c r="M114" s="47"/>
      <c r="N114" s="47"/>
      <c r="O114" s="47"/>
      <c r="P114" s="49"/>
    </row>
    <row r="115" ht="15" customHeight="1">
      <c r="A115" s="46"/>
      <c r="B115" s="47"/>
      <c r="C115" s="47"/>
      <c r="D115" s="47"/>
      <c r="E115" s="47"/>
      <c r="F115" s="84"/>
      <c r="G115" s="83"/>
      <c r="H115" s="48"/>
      <c r="I115" s="84"/>
      <c r="J115" s="83"/>
      <c r="K115" s="47"/>
      <c r="L115" s="47"/>
      <c r="M115" s="47"/>
      <c r="N115" s="47"/>
      <c r="O115" s="47"/>
      <c r="P115" s="49"/>
    </row>
    <row r="116" ht="8" customHeight="1">
      <c r="A116" s="46"/>
      <c r="B116" s="47"/>
      <c r="C116" s="47"/>
      <c r="D116" s="47"/>
      <c r="E116" s="47"/>
      <c r="F116" s="84"/>
      <c r="G116" s="83"/>
      <c r="H116" s="48"/>
      <c r="I116" s="84"/>
      <c r="J116" s="83"/>
      <c r="K116" s="47"/>
      <c r="L116" s="47"/>
      <c r="M116" s="47"/>
      <c r="N116" s="47"/>
      <c r="O116" s="47"/>
      <c r="P116" s="49"/>
    </row>
    <row r="117" ht="32" customHeight="1">
      <c r="A117" s="46"/>
      <c r="B117" s="47"/>
      <c r="C117" s="47"/>
      <c r="D117" s="47"/>
      <c r="E117" s="47"/>
      <c r="F117" s="84"/>
      <c r="G117" s="83"/>
      <c r="H117" t="s" s="67">
        <v>111</v>
      </c>
      <c r="I117" s="84"/>
      <c r="J117" s="83"/>
      <c r="K117" s="47"/>
      <c r="L117" s="47"/>
      <c r="M117" s="47"/>
      <c r="N117" s="47"/>
      <c r="O117" s="47"/>
      <c r="P117" s="49"/>
    </row>
    <row r="118" ht="80" customHeight="1">
      <c r="A118" s="46"/>
      <c r="B118" s="47"/>
      <c r="C118" s="47"/>
      <c r="D118" s="47"/>
      <c r="E118" s="47"/>
      <c r="F118" s="84"/>
      <c r="G118" s="83"/>
      <c r="H118" t="s" s="67">
        <v>112</v>
      </c>
      <c r="I118" s="84"/>
      <c r="J118" s="83"/>
      <c r="K118" s="47"/>
      <c r="L118" s="47"/>
      <c r="M118" s="47"/>
      <c r="N118" s="47"/>
      <c r="O118" s="47"/>
      <c r="P118" s="49"/>
    </row>
    <row r="119" ht="49" customHeight="1">
      <c r="A119" s="46"/>
      <c r="B119" s="47"/>
      <c r="C119" s="47"/>
      <c r="D119" s="47"/>
      <c r="E119" s="47"/>
      <c r="F119" s="84"/>
      <c r="G119" s="87"/>
      <c r="H119" t="s" s="96">
        <v>113</v>
      </c>
      <c r="I119" s="89"/>
      <c r="J119" s="83"/>
      <c r="K119" s="47"/>
      <c r="L119" s="47"/>
      <c r="M119" s="47"/>
      <c r="N119" s="47"/>
      <c r="O119" s="47"/>
      <c r="P119" s="49"/>
    </row>
    <row r="120" ht="16" customHeight="1">
      <c r="A120" s="46"/>
      <c r="B120" s="47"/>
      <c r="C120" s="47"/>
      <c r="D120" s="47"/>
      <c r="E120" s="47"/>
      <c r="F120" s="47"/>
      <c r="G120" s="97"/>
      <c r="H120" s="98"/>
      <c r="I120" s="97"/>
      <c r="J120" s="47"/>
      <c r="K120" s="47"/>
      <c r="L120" s="47"/>
      <c r="M120" s="47"/>
      <c r="N120" s="47"/>
      <c r="O120" s="47"/>
      <c r="P120" s="49"/>
    </row>
    <row r="121" ht="15" customHeight="1">
      <c r="A121" s="46"/>
      <c r="B121" s="47"/>
      <c r="C121" s="47"/>
      <c r="D121" s="47"/>
      <c r="E121" s="47"/>
      <c r="F121" s="84"/>
      <c r="G121" s="80"/>
      <c r="H121" t="s" s="81">
        <v>114</v>
      </c>
      <c r="I121" s="82"/>
      <c r="J121" s="83"/>
      <c r="K121" s="47"/>
      <c r="L121" s="47"/>
      <c r="M121" s="47"/>
      <c r="N121" s="47"/>
      <c r="O121" s="47"/>
      <c r="P121" s="49"/>
    </row>
    <row r="122" ht="16" customHeight="1">
      <c r="A122" s="46"/>
      <c r="B122" s="47"/>
      <c r="C122" s="47"/>
      <c r="D122" s="47"/>
      <c r="E122" s="47"/>
      <c r="F122" s="84"/>
      <c r="G122" s="83"/>
      <c r="H122" t="s" s="27">
        <v>115</v>
      </c>
      <c r="I122" s="84"/>
      <c r="J122" s="83"/>
      <c r="K122" s="47"/>
      <c r="L122" s="47"/>
      <c r="M122" s="47"/>
      <c r="N122" s="47"/>
      <c r="O122" s="47"/>
      <c r="P122" s="49"/>
    </row>
    <row r="123" ht="32" customHeight="1">
      <c r="A123" s="46"/>
      <c r="B123" s="47"/>
      <c r="C123" s="47"/>
      <c r="D123" s="47"/>
      <c r="E123" s="47"/>
      <c r="F123" s="84"/>
      <c r="G123" s="83"/>
      <c r="H123" t="s" s="27">
        <v>116</v>
      </c>
      <c r="I123" s="84"/>
      <c r="J123" s="83"/>
      <c r="K123" s="47"/>
      <c r="L123" s="47"/>
      <c r="M123" s="47"/>
      <c r="N123" s="47"/>
      <c r="O123" s="47"/>
      <c r="P123" s="49"/>
    </row>
    <row r="124" ht="33" customHeight="1">
      <c r="A124" s="46"/>
      <c r="B124" s="47"/>
      <c r="C124" s="47"/>
      <c r="D124" s="47"/>
      <c r="E124" s="47"/>
      <c r="F124" s="84"/>
      <c r="G124" s="87"/>
      <c r="H124" t="s" s="107">
        <v>117</v>
      </c>
      <c r="I124" s="89"/>
      <c r="J124" s="83"/>
      <c r="K124" s="47"/>
      <c r="L124" s="47"/>
      <c r="M124" s="47"/>
      <c r="N124" s="47"/>
      <c r="O124" s="47"/>
      <c r="P124" s="49"/>
    </row>
    <row r="125" ht="16" customHeight="1">
      <c r="A125" s="46"/>
      <c r="B125" s="47"/>
      <c r="C125" s="47"/>
      <c r="D125" s="47"/>
      <c r="E125" s="47"/>
      <c r="F125" s="47"/>
      <c r="G125" s="97"/>
      <c r="H125" s="98"/>
      <c r="I125" s="97"/>
      <c r="J125" s="47"/>
      <c r="K125" s="47"/>
      <c r="L125" s="47"/>
      <c r="M125" s="47"/>
      <c r="N125" s="47"/>
      <c r="O125" s="47"/>
      <c r="P125" s="49"/>
    </row>
    <row r="126" ht="15" customHeight="1">
      <c r="A126" s="46"/>
      <c r="B126" s="47"/>
      <c r="C126" s="47"/>
      <c r="D126" s="47"/>
      <c r="E126" s="47"/>
      <c r="F126" s="84"/>
      <c r="G126" s="80"/>
      <c r="H126" t="s" s="81">
        <v>118</v>
      </c>
      <c r="I126" s="82"/>
      <c r="J126" s="83"/>
      <c r="K126" s="47"/>
      <c r="L126" s="47"/>
      <c r="M126" s="47"/>
      <c r="N126" s="47"/>
      <c r="O126" s="47"/>
      <c r="P126" s="49"/>
    </row>
    <row r="127" ht="16" customHeight="1">
      <c r="A127" s="46"/>
      <c r="B127" s="47"/>
      <c r="C127" s="47"/>
      <c r="D127" s="47"/>
      <c r="E127" s="47"/>
      <c r="F127" s="84"/>
      <c r="G127" s="83"/>
      <c r="H127" t="s" s="27">
        <v>119</v>
      </c>
      <c r="I127" s="84"/>
      <c r="J127" s="83"/>
      <c r="K127" s="47"/>
      <c r="L127" s="47"/>
      <c r="M127" s="47"/>
      <c r="N127" s="47"/>
      <c r="O127" s="47"/>
      <c r="P127" s="49"/>
    </row>
    <row r="128" ht="49" customHeight="1">
      <c r="A128" s="46"/>
      <c r="B128" s="47"/>
      <c r="C128" s="47"/>
      <c r="D128" s="47"/>
      <c r="E128" s="47"/>
      <c r="F128" s="84"/>
      <c r="G128" s="87"/>
      <c r="H128" t="s" s="107">
        <v>120</v>
      </c>
      <c r="I128" s="89"/>
      <c r="J128" s="83"/>
      <c r="K128" s="47"/>
      <c r="L128" s="47"/>
      <c r="M128" s="47"/>
      <c r="N128" s="47"/>
      <c r="O128" s="47"/>
      <c r="P128" s="49"/>
    </row>
    <row r="129" ht="16" customHeight="1">
      <c r="A129" s="46"/>
      <c r="B129" s="47"/>
      <c r="C129" s="47"/>
      <c r="D129" s="47"/>
      <c r="E129" s="47"/>
      <c r="F129" s="47"/>
      <c r="G129" s="97"/>
      <c r="H129" s="98"/>
      <c r="I129" s="97"/>
      <c r="J129" s="47"/>
      <c r="K129" s="47"/>
      <c r="L129" s="47"/>
      <c r="M129" s="47"/>
      <c r="N129" s="47"/>
      <c r="O129" s="47"/>
      <c r="P129" s="49"/>
    </row>
    <row r="130" ht="15" customHeight="1">
      <c r="A130" s="46"/>
      <c r="B130" s="47"/>
      <c r="C130" s="47"/>
      <c r="D130" s="47"/>
      <c r="E130" s="47"/>
      <c r="F130" s="84"/>
      <c r="G130" s="80"/>
      <c r="H130" t="s" s="81">
        <v>121</v>
      </c>
      <c r="I130" s="82"/>
      <c r="J130" s="83"/>
      <c r="K130" s="47"/>
      <c r="L130" s="47"/>
      <c r="M130" s="47"/>
      <c r="N130" s="47"/>
      <c r="O130" s="47"/>
      <c r="P130" s="49"/>
    </row>
    <row r="131" ht="16" customHeight="1">
      <c r="A131" s="46"/>
      <c r="B131" s="47"/>
      <c r="C131" s="47"/>
      <c r="D131" s="47"/>
      <c r="E131" s="47"/>
      <c r="F131" s="84"/>
      <c r="G131" s="83"/>
      <c r="H131" t="s" s="27">
        <v>122</v>
      </c>
      <c r="I131" s="84"/>
      <c r="J131" s="83"/>
      <c r="K131" s="47"/>
      <c r="L131" s="47"/>
      <c r="M131" s="47"/>
      <c r="N131" s="47"/>
      <c r="O131" s="47"/>
      <c r="P131" s="49"/>
    </row>
    <row r="132" ht="15" customHeight="1">
      <c r="A132" s="46"/>
      <c r="B132" s="47"/>
      <c r="C132" s="47"/>
      <c r="D132" s="47"/>
      <c r="E132" s="47"/>
      <c r="F132" s="84"/>
      <c r="G132" s="83"/>
      <c r="H132" s="28"/>
      <c r="I132" s="84"/>
      <c r="J132" s="83"/>
      <c r="K132" s="47"/>
      <c r="L132" s="47"/>
      <c r="M132" s="47"/>
      <c r="N132" s="47"/>
      <c r="O132" s="47"/>
      <c r="P132" s="49"/>
    </row>
    <row r="133" ht="15" customHeight="1">
      <c r="A133" s="46"/>
      <c r="B133" s="47"/>
      <c r="C133" s="47"/>
      <c r="D133" s="47"/>
      <c r="E133" s="47"/>
      <c r="F133" s="84"/>
      <c r="G133" s="83"/>
      <c r="H133" s="28"/>
      <c r="I133" s="84"/>
      <c r="J133" s="83"/>
      <c r="K133" s="47"/>
      <c r="L133" s="47"/>
      <c r="M133" s="47"/>
      <c r="N133" s="47"/>
      <c r="O133" s="47"/>
      <c r="P133" s="49"/>
    </row>
    <row r="134" ht="15" customHeight="1">
      <c r="A134" s="46"/>
      <c r="B134" s="47"/>
      <c r="C134" s="47"/>
      <c r="D134" s="47"/>
      <c r="E134" s="47"/>
      <c r="F134" s="84"/>
      <c r="G134" s="83"/>
      <c r="H134" s="28"/>
      <c r="I134" s="84"/>
      <c r="J134" s="83"/>
      <c r="K134" s="47"/>
      <c r="L134" s="47"/>
      <c r="M134" s="47"/>
      <c r="N134" s="47"/>
      <c r="O134" s="47"/>
      <c r="P134" s="49"/>
    </row>
    <row r="135" ht="15" customHeight="1">
      <c r="A135" s="46"/>
      <c r="B135" s="47"/>
      <c r="C135" s="47"/>
      <c r="D135" s="47"/>
      <c r="E135" s="47"/>
      <c r="F135" s="84"/>
      <c r="G135" s="83"/>
      <c r="H135" s="28"/>
      <c r="I135" s="84"/>
      <c r="J135" s="83"/>
      <c r="K135" s="47"/>
      <c r="L135" s="47"/>
      <c r="M135" s="47"/>
      <c r="N135" s="47"/>
      <c r="O135" s="47"/>
      <c r="P135" s="49"/>
    </row>
    <row r="136" ht="15" customHeight="1">
      <c r="A136" s="46"/>
      <c r="B136" s="47"/>
      <c r="C136" s="47"/>
      <c r="D136" s="47"/>
      <c r="E136" s="47"/>
      <c r="F136" s="84"/>
      <c r="G136" s="83"/>
      <c r="H136" s="28"/>
      <c r="I136" s="84"/>
      <c r="J136" s="83"/>
      <c r="K136" s="47"/>
      <c r="L136" s="47"/>
      <c r="M136" s="47"/>
      <c r="N136" s="47"/>
      <c r="O136" s="47"/>
      <c r="P136" s="49"/>
    </row>
    <row r="137" ht="15" customHeight="1">
      <c r="A137" s="46"/>
      <c r="B137" s="47"/>
      <c r="C137" s="47"/>
      <c r="D137" s="47"/>
      <c r="E137" s="47"/>
      <c r="F137" s="84"/>
      <c r="G137" s="83"/>
      <c r="H137" s="28"/>
      <c r="I137" s="84"/>
      <c r="J137" s="83"/>
      <c r="K137" s="47"/>
      <c r="L137" s="47"/>
      <c r="M137" s="47"/>
      <c r="N137" s="47"/>
      <c r="O137" s="47"/>
      <c r="P137" s="49"/>
    </row>
    <row r="138" ht="15" customHeight="1">
      <c r="A138" s="46"/>
      <c r="B138" s="47"/>
      <c r="C138" s="47"/>
      <c r="D138" s="47"/>
      <c r="E138" s="47"/>
      <c r="F138" s="84"/>
      <c r="G138" s="83"/>
      <c r="H138" s="28"/>
      <c r="I138" s="84"/>
      <c r="J138" s="83"/>
      <c r="K138" s="47"/>
      <c r="L138" s="47"/>
      <c r="M138" s="47"/>
      <c r="N138" s="47"/>
      <c r="O138" s="47"/>
      <c r="P138" s="49"/>
    </row>
    <row r="139" ht="15" customHeight="1">
      <c r="A139" s="46"/>
      <c r="B139" s="47"/>
      <c r="C139" s="47"/>
      <c r="D139" s="47"/>
      <c r="E139" s="47"/>
      <c r="F139" s="84"/>
      <c r="G139" s="83"/>
      <c r="H139" s="28"/>
      <c r="I139" s="84"/>
      <c r="J139" s="83"/>
      <c r="K139" s="47"/>
      <c r="L139" s="47"/>
      <c r="M139" s="47"/>
      <c r="N139" s="47"/>
      <c r="O139" s="47"/>
      <c r="P139" s="49"/>
    </row>
    <row r="140" ht="15" customHeight="1">
      <c r="A140" s="46"/>
      <c r="B140" s="47"/>
      <c r="C140" s="47"/>
      <c r="D140" s="47"/>
      <c r="E140" s="47"/>
      <c r="F140" s="84"/>
      <c r="G140" s="83"/>
      <c r="H140" s="28"/>
      <c r="I140" s="84"/>
      <c r="J140" s="83"/>
      <c r="K140" s="47"/>
      <c r="L140" s="47"/>
      <c r="M140" s="47"/>
      <c r="N140" s="47"/>
      <c r="O140" s="47"/>
      <c r="P140" s="49"/>
    </row>
    <row r="141" ht="15" customHeight="1">
      <c r="A141" s="46"/>
      <c r="B141" s="47"/>
      <c r="C141" s="47"/>
      <c r="D141" s="47"/>
      <c r="E141" s="47"/>
      <c r="F141" s="84"/>
      <c r="G141" s="83"/>
      <c r="H141" s="28"/>
      <c r="I141" s="84"/>
      <c r="J141" s="83"/>
      <c r="K141" s="47"/>
      <c r="L141" s="47"/>
      <c r="M141" s="47"/>
      <c r="N141" s="47"/>
      <c r="O141" s="47"/>
      <c r="P141" s="49"/>
    </row>
    <row r="142" ht="15" customHeight="1">
      <c r="A142" s="46"/>
      <c r="B142" s="47"/>
      <c r="C142" s="47"/>
      <c r="D142" s="47"/>
      <c r="E142" s="47"/>
      <c r="F142" s="84"/>
      <c r="G142" s="83"/>
      <c r="H142" s="28"/>
      <c r="I142" s="84"/>
      <c r="J142" s="83"/>
      <c r="K142" s="47"/>
      <c r="L142" s="47"/>
      <c r="M142" s="47"/>
      <c r="N142" s="47"/>
      <c r="O142" s="47"/>
      <c r="P142" s="49"/>
    </row>
    <row r="143" ht="15" customHeight="1">
      <c r="A143" s="46"/>
      <c r="B143" s="47"/>
      <c r="C143" s="47"/>
      <c r="D143" s="47"/>
      <c r="E143" s="47"/>
      <c r="F143" s="84"/>
      <c r="G143" s="83"/>
      <c r="H143" s="28"/>
      <c r="I143" s="84"/>
      <c r="J143" s="83"/>
      <c r="K143" s="47"/>
      <c r="L143" s="47"/>
      <c r="M143" s="47"/>
      <c r="N143" s="47"/>
      <c r="O143" s="47"/>
      <c r="P143" s="49"/>
    </row>
    <row r="144" ht="15" customHeight="1">
      <c r="A144" s="46"/>
      <c r="B144" s="47"/>
      <c r="C144" s="47"/>
      <c r="D144" s="47"/>
      <c r="E144" s="47"/>
      <c r="F144" s="84"/>
      <c r="G144" s="83"/>
      <c r="H144" s="28"/>
      <c r="I144" s="84"/>
      <c r="J144" s="83"/>
      <c r="K144" s="47"/>
      <c r="L144" s="47"/>
      <c r="M144" s="47"/>
      <c r="N144" s="47"/>
      <c r="O144" s="47"/>
      <c r="P144" s="49"/>
    </row>
    <row r="145" ht="15" customHeight="1">
      <c r="A145" s="46"/>
      <c r="B145" s="47"/>
      <c r="C145" s="47"/>
      <c r="D145" s="47"/>
      <c r="E145" s="47"/>
      <c r="F145" s="84"/>
      <c r="G145" s="83"/>
      <c r="H145" s="28"/>
      <c r="I145" s="84"/>
      <c r="J145" s="83"/>
      <c r="K145" s="47"/>
      <c r="L145" s="47"/>
      <c r="M145" s="47"/>
      <c r="N145" s="47"/>
      <c r="O145" s="47"/>
      <c r="P145" s="49"/>
    </row>
    <row r="146" ht="16" customHeight="1">
      <c r="A146" s="46"/>
      <c r="B146" s="47"/>
      <c r="C146" s="47"/>
      <c r="D146" s="47"/>
      <c r="E146" s="47"/>
      <c r="F146" s="84"/>
      <c r="G146" s="83"/>
      <c r="H146" t="s" s="27">
        <v>123</v>
      </c>
      <c r="I146" s="84"/>
      <c r="J146" s="83"/>
      <c r="K146" s="47"/>
      <c r="L146" s="47"/>
      <c r="M146" s="47"/>
      <c r="N146" s="47"/>
      <c r="O146" s="47"/>
      <c r="P146" s="49"/>
    </row>
    <row r="147" ht="15" customHeight="1">
      <c r="A147" s="46"/>
      <c r="B147" s="47"/>
      <c r="C147" s="47"/>
      <c r="D147" s="47"/>
      <c r="E147" s="47"/>
      <c r="F147" s="84"/>
      <c r="G147" s="83"/>
      <c r="H147" s="28"/>
      <c r="I147" s="84"/>
      <c r="J147" s="83"/>
      <c r="K147" s="47"/>
      <c r="L147" s="47"/>
      <c r="M147" s="47"/>
      <c r="N147" s="47"/>
      <c r="O147" s="47"/>
      <c r="P147" s="49"/>
    </row>
    <row r="148" ht="15" customHeight="1">
      <c r="A148" s="46"/>
      <c r="B148" s="47"/>
      <c r="C148" s="47"/>
      <c r="D148" s="47"/>
      <c r="E148" s="47"/>
      <c r="F148" s="84"/>
      <c r="G148" s="83"/>
      <c r="H148" s="28"/>
      <c r="I148" s="84"/>
      <c r="J148" s="83"/>
      <c r="K148" s="47"/>
      <c r="L148" s="47"/>
      <c r="M148" s="47"/>
      <c r="N148" s="47"/>
      <c r="O148" s="47"/>
      <c r="P148" s="49"/>
    </row>
    <row r="149" ht="15" customHeight="1">
      <c r="A149" s="46"/>
      <c r="B149" s="47"/>
      <c r="C149" s="47"/>
      <c r="D149" s="47"/>
      <c r="E149" s="47"/>
      <c r="F149" s="84"/>
      <c r="G149" s="83"/>
      <c r="H149" s="28"/>
      <c r="I149" s="84"/>
      <c r="J149" s="83"/>
      <c r="K149" s="47"/>
      <c r="L149" s="47"/>
      <c r="M149" s="47"/>
      <c r="N149" s="47"/>
      <c r="O149" s="47"/>
      <c r="P149" s="49"/>
    </row>
    <row r="150" ht="15" customHeight="1">
      <c r="A150" s="46"/>
      <c r="B150" s="47"/>
      <c r="C150" s="47"/>
      <c r="D150" s="47"/>
      <c r="E150" s="47"/>
      <c r="F150" s="84"/>
      <c r="G150" s="83"/>
      <c r="H150" s="28"/>
      <c r="I150" s="84"/>
      <c r="J150" s="83"/>
      <c r="K150" s="47"/>
      <c r="L150" s="47"/>
      <c r="M150" s="47"/>
      <c r="N150" s="47"/>
      <c r="O150" s="47"/>
      <c r="P150" s="49"/>
    </row>
    <row r="151" ht="15" customHeight="1">
      <c r="A151" s="46"/>
      <c r="B151" s="47"/>
      <c r="C151" s="47"/>
      <c r="D151" s="47"/>
      <c r="E151" s="47"/>
      <c r="F151" s="84"/>
      <c r="G151" s="83"/>
      <c r="H151" s="28"/>
      <c r="I151" s="84"/>
      <c r="J151" s="83"/>
      <c r="K151" s="47"/>
      <c r="L151" s="47"/>
      <c r="M151" s="47"/>
      <c r="N151" s="47"/>
      <c r="O151" s="47"/>
      <c r="P151" s="49"/>
    </row>
    <row r="152" ht="15" customHeight="1">
      <c r="A152" s="46"/>
      <c r="B152" s="47"/>
      <c r="C152" s="47"/>
      <c r="D152" s="47"/>
      <c r="E152" s="47"/>
      <c r="F152" s="84"/>
      <c r="G152" s="83"/>
      <c r="H152" s="28"/>
      <c r="I152" s="84"/>
      <c r="J152" s="83"/>
      <c r="K152" s="47"/>
      <c r="L152" s="47"/>
      <c r="M152" s="47"/>
      <c r="N152" s="47"/>
      <c r="O152" s="47"/>
      <c r="P152" s="49"/>
    </row>
    <row r="153" ht="15" customHeight="1">
      <c r="A153" s="46"/>
      <c r="B153" s="47"/>
      <c r="C153" s="47"/>
      <c r="D153" s="47"/>
      <c r="E153" s="47"/>
      <c r="F153" s="84"/>
      <c r="G153" s="83"/>
      <c r="H153" s="28"/>
      <c r="I153" s="84"/>
      <c r="J153" s="83"/>
      <c r="K153" s="47"/>
      <c r="L153" s="47"/>
      <c r="M153" s="47"/>
      <c r="N153" s="47"/>
      <c r="O153" s="47"/>
      <c r="P153" s="49"/>
    </row>
    <row r="154" ht="15" customHeight="1">
      <c r="A154" s="46"/>
      <c r="B154" s="47"/>
      <c r="C154" s="47"/>
      <c r="D154" s="47"/>
      <c r="E154" s="47"/>
      <c r="F154" s="84"/>
      <c r="G154" s="83"/>
      <c r="H154" s="28"/>
      <c r="I154" s="84"/>
      <c r="J154" s="83"/>
      <c r="K154" s="47"/>
      <c r="L154" s="47"/>
      <c r="M154" s="47"/>
      <c r="N154" s="47"/>
      <c r="O154" s="47"/>
      <c r="P154" s="49"/>
    </row>
    <row r="155" ht="15" customHeight="1">
      <c r="A155" s="46"/>
      <c r="B155" s="47"/>
      <c r="C155" s="47"/>
      <c r="D155" s="47"/>
      <c r="E155" s="47"/>
      <c r="F155" s="84"/>
      <c r="G155" s="83"/>
      <c r="H155" s="28"/>
      <c r="I155" s="84"/>
      <c r="J155" s="83"/>
      <c r="K155" s="47"/>
      <c r="L155" s="47"/>
      <c r="M155" s="47"/>
      <c r="N155" s="47"/>
      <c r="O155" s="47"/>
      <c r="P155" s="49"/>
    </row>
    <row r="156" ht="15" customHeight="1">
      <c r="A156" s="46"/>
      <c r="B156" s="47"/>
      <c r="C156" s="47"/>
      <c r="D156" s="47"/>
      <c r="E156" s="47"/>
      <c r="F156" s="84"/>
      <c r="G156" s="83"/>
      <c r="H156" s="28"/>
      <c r="I156" s="84"/>
      <c r="J156" s="83"/>
      <c r="K156" s="47"/>
      <c r="L156" s="47"/>
      <c r="M156" s="47"/>
      <c r="N156" s="47"/>
      <c r="O156" s="47"/>
      <c r="P156" s="49"/>
    </row>
    <row r="157" ht="15" customHeight="1">
      <c r="A157" s="46"/>
      <c r="B157" s="47"/>
      <c r="C157" s="47"/>
      <c r="D157" s="47"/>
      <c r="E157" s="47"/>
      <c r="F157" s="84"/>
      <c r="G157" s="83"/>
      <c r="H157" s="28"/>
      <c r="I157" s="84"/>
      <c r="J157" s="83"/>
      <c r="K157" s="47"/>
      <c r="L157" s="47"/>
      <c r="M157" s="47"/>
      <c r="N157" s="47"/>
      <c r="O157" s="47"/>
      <c r="P157" s="49"/>
    </row>
    <row r="158" ht="19.75" customHeight="1">
      <c r="A158" s="46"/>
      <c r="B158" s="47"/>
      <c r="C158" s="47"/>
      <c r="D158" s="47"/>
      <c r="E158" s="47"/>
      <c r="F158" s="84"/>
      <c r="G158" s="87"/>
      <c r="H158" s="100"/>
      <c r="I158" s="89"/>
      <c r="J158" s="83"/>
      <c r="K158" s="47"/>
      <c r="L158" s="47"/>
      <c r="M158" s="47"/>
      <c r="N158" s="47"/>
      <c r="O158" s="47"/>
      <c r="P158" s="49"/>
    </row>
    <row r="159" ht="16" customHeight="1">
      <c r="A159" s="46"/>
      <c r="B159" s="47"/>
      <c r="C159" s="47"/>
      <c r="D159" s="47"/>
      <c r="E159" s="47"/>
      <c r="F159" s="47"/>
      <c r="G159" s="97"/>
      <c r="H159" s="98"/>
      <c r="I159" s="97"/>
      <c r="J159" s="47"/>
      <c r="K159" s="47"/>
      <c r="L159" s="47"/>
      <c r="M159" s="47"/>
      <c r="N159" s="47"/>
      <c r="O159" s="47"/>
      <c r="P159" s="49"/>
    </row>
    <row r="160" ht="15" customHeight="1">
      <c r="A160" s="46"/>
      <c r="B160" s="47"/>
      <c r="C160" s="47"/>
      <c r="D160" s="47"/>
      <c r="E160" s="47"/>
      <c r="F160" s="84"/>
      <c r="G160" s="80"/>
      <c r="H160" t="s" s="81">
        <v>124</v>
      </c>
      <c r="I160" s="82"/>
      <c r="J160" s="83"/>
      <c r="K160" s="47"/>
      <c r="L160" s="47"/>
      <c r="M160" s="47"/>
      <c r="N160" s="47"/>
      <c r="O160" s="47"/>
      <c r="P160" s="49"/>
    </row>
    <row r="161" ht="48" customHeight="1">
      <c r="A161" s="46"/>
      <c r="B161" s="47"/>
      <c r="C161" s="47"/>
      <c r="D161" s="47"/>
      <c r="E161" s="47"/>
      <c r="F161" s="84"/>
      <c r="G161" s="83"/>
      <c r="H161" t="s" s="27">
        <v>125</v>
      </c>
      <c r="I161" s="84"/>
      <c r="J161" s="83"/>
      <c r="K161" s="47"/>
      <c r="L161" s="47"/>
      <c r="M161" s="47"/>
      <c r="N161" s="47"/>
      <c r="O161" s="47"/>
      <c r="P161" s="49"/>
    </row>
    <row r="162" ht="15" customHeight="1">
      <c r="A162" s="46"/>
      <c r="B162" s="47"/>
      <c r="C162" s="47"/>
      <c r="D162" s="47"/>
      <c r="E162" s="47"/>
      <c r="F162" s="84"/>
      <c r="G162" s="83"/>
      <c r="H162" s="28"/>
      <c r="I162" s="84"/>
      <c r="J162" s="83"/>
      <c r="K162" s="47"/>
      <c r="L162" s="47"/>
      <c r="M162" s="47"/>
      <c r="N162" s="47"/>
      <c r="O162" s="47"/>
      <c r="P162" s="49"/>
    </row>
    <row r="163" ht="15" customHeight="1">
      <c r="A163" s="46"/>
      <c r="B163" s="47"/>
      <c r="C163" s="47"/>
      <c r="D163" s="47"/>
      <c r="E163" s="47"/>
      <c r="F163" s="84"/>
      <c r="G163" s="83"/>
      <c r="H163" s="28"/>
      <c r="I163" s="84"/>
      <c r="J163" s="83"/>
      <c r="K163" s="47"/>
      <c r="L163" s="47"/>
      <c r="M163" s="47"/>
      <c r="N163" s="47"/>
      <c r="O163" s="47"/>
      <c r="P163" s="49"/>
    </row>
    <row r="164" ht="15" customHeight="1">
      <c r="A164" s="46"/>
      <c r="B164" s="47"/>
      <c r="C164" s="47"/>
      <c r="D164" s="47"/>
      <c r="E164" s="47"/>
      <c r="F164" s="84"/>
      <c r="G164" s="83"/>
      <c r="H164" s="28"/>
      <c r="I164" s="84"/>
      <c r="J164" s="83"/>
      <c r="K164" s="47"/>
      <c r="L164" s="47"/>
      <c r="M164" s="47"/>
      <c r="N164" s="47"/>
      <c r="O164" s="47"/>
      <c r="P164" s="49"/>
    </row>
    <row r="165" ht="15" customHeight="1">
      <c r="A165" s="46"/>
      <c r="B165" s="47"/>
      <c r="C165" s="47"/>
      <c r="D165" s="47"/>
      <c r="E165" s="47"/>
      <c r="F165" s="84"/>
      <c r="G165" s="83"/>
      <c r="H165" s="28"/>
      <c r="I165" s="84"/>
      <c r="J165" s="83"/>
      <c r="K165" s="47"/>
      <c r="L165" s="47"/>
      <c r="M165" s="47"/>
      <c r="N165" s="47"/>
      <c r="O165" s="47"/>
      <c r="P165" s="49"/>
    </row>
    <row r="166" ht="15" customHeight="1">
      <c r="A166" s="46"/>
      <c r="B166" s="47"/>
      <c r="C166" s="47"/>
      <c r="D166" s="47"/>
      <c r="E166" s="47"/>
      <c r="F166" s="84"/>
      <c r="G166" s="83"/>
      <c r="H166" s="28"/>
      <c r="I166" s="84"/>
      <c r="J166" s="83"/>
      <c r="K166" s="47"/>
      <c r="L166" s="47"/>
      <c r="M166" s="47"/>
      <c r="N166" s="47"/>
      <c r="O166" s="47"/>
      <c r="P166" s="49"/>
    </row>
    <row r="167" ht="15" customHeight="1">
      <c r="A167" s="46"/>
      <c r="B167" s="47"/>
      <c r="C167" s="47"/>
      <c r="D167" s="47"/>
      <c r="E167" s="47"/>
      <c r="F167" s="84"/>
      <c r="G167" s="83"/>
      <c r="H167" s="28"/>
      <c r="I167" s="84"/>
      <c r="J167" s="83"/>
      <c r="K167" s="47"/>
      <c r="L167" s="47"/>
      <c r="M167" s="47"/>
      <c r="N167" s="47"/>
      <c r="O167" s="47"/>
      <c r="P167" s="49"/>
    </row>
    <row r="168" ht="15" customHeight="1">
      <c r="A168" s="46"/>
      <c r="B168" s="47"/>
      <c r="C168" s="47"/>
      <c r="D168" s="47"/>
      <c r="E168" s="47"/>
      <c r="F168" s="84"/>
      <c r="G168" s="83"/>
      <c r="H168" s="28"/>
      <c r="I168" s="84"/>
      <c r="J168" s="83"/>
      <c r="K168" s="47"/>
      <c r="L168" s="47"/>
      <c r="M168" s="47"/>
      <c r="N168" s="47"/>
      <c r="O168" s="47"/>
      <c r="P168" s="49"/>
    </row>
    <row r="169" ht="15" customHeight="1">
      <c r="A169" s="46"/>
      <c r="B169" s="47"/>
      <c r="C169" s="47"/>
      <c r="D169" s="47"/>
      <c r="E169" s="47"/>
      <c r="F169" s="84"/>
      <c r="G169" s="83"/>
      <c r="H169" s="28"/>
      <c r="I169" s="84"/>
      <c r="J169" s="83"/>
      <c r="K169" s="47"/>
      <c r="L169" s="47"/>
      <c r="M169" s="47"/>
      <c r="N169" s="47"/>
      <c r="O169" s="47"/>
      <c r="P169" s="49"/>
    </row>
    <row r="170" ht="15" customHeight="1">
      <c r="A170" s="46"/>
      <c r="B170" s="47"/>
      <c r="C170" s="47"/>
      <c r="D170" s="47"/>
      <c r="E170" s="47"/>
      <c r="F170" s="84"/>
      <c r="G170" s="83"/>
      <c r="H170" s="28"/>
      <c r="I170" s="84"/>
      <c r="J170" s="83"/>
      <c r="K170" s="47"/>
      <c r="L170" s="47"/>
      <c r="M170" s="47"/>
      <c r="N170" s="47"/>
      <c r="O170" s="47"/>
      <c r="P170" s="49"/>
    </row>
    <row r="171" ht="15" customHeight="1">
      <c r="A171" s="46"/>
      <c r="B171" s="47"/>
      <c r="C171" s="47"/>
      <c r="D171" s="47"/>
      <c r="E171" s="47"/>
      <c r="F171" s="84"/>
      <c r="G171" s="83"/>
      <c r="H171" s="28"/>
      <c r="I171" s="84"/>
      <c r="J171" s="83"/>
      <c r="K171" s="47"/>
      <c r="L171" s="47"/>
      <c r="M171" s="47"/>
      <c r="N171" s="47"/>
      <c r="O171" s="47"/>
      <c r="P171" s="49"/>
    </row>
    <row r="172" ht="15" customHeight="1">
      <c r="A172" s="46"/>
      <c r="B172" s="47"/>
      <c r="C172" s="47"/>
      <c r="D172" s="47"/>
      <c r="E172" s="47"/>
      <c r="F172" s="84"/>
      <c r="G172" s="83"/>
      <c r="H172" s="28"/>
      <c r="I172" s="84"/>
      <c r="J172" s="83"/>
      <c r="K172" s="47"/>
      <c r="L172" s="47"/>
      <c r="M172" s="47"/>
      <c r="N172" s="47"/>
      <c r="O172" s="47"/>
      <c r="P172" s="49"/>
    </row>
    <row r="173" ht="15" customHeight="1">
      <c r="A173" s="46"/>
      <c r="B173" s="47"/>
      <c r="C173" s="47"/>
      <c r="D173" s="47"/>
      <c r="E173" s="47"/>
      <c r="F173" s="84"/>
      <c r="G173" s="83"/>
      <c r="H173" s="28"/>
      <c r="I173" s="84"/>
      <c r="J173" s="83"/>
      <c r="K173" s="47"/>
      <c r="L173" s="47"/>
      <c r="M173" s="47"/>
      <c r="N173" s="47"/>
      <c r="O173" s="47"/>
      <c r="P173" s="49"/>
    </row>
    <row r="174" ht="15" customHeight="1">
      <c r="A174" s="46"/>
      <c r="B174" s="47"/>
      <c r="C174" s="47"/>
      <c r="D174" s="47"/>
      <c r="E174" s="47"/>
      <c r="F174" s="84"/>
      <c r="G174" s="83"/>
      <c r="H174" s="28"/>
      <c r="I174" s="84"/>
      <c r="J174" s="83"/>
      <c r="K174" s="47"/>
      <c r="L174" s="47"/>
      <c r="M174" s="47"/>
      <c r="N174" s="47"/>
      <c r="O174" s="47"/>
      <c r="P174" s="49"/>
    </row>
    <row r="175" ht="16" customHeight="1">
      <c r="A175" s="46"/>
      <c r="B175" s="47"/>
      <c r="C175" s="47"/>
      <c r="D175" s="47"/>
      <c r="E175" s="47"/>
      <c r="F175" s="84"/>
      <c r="G175" s="87"/>
      <c r="H175" s="100"/>
      <c r="I175" s="89"/>
      <c r="J175" s="83"/>
      <c r="K175" s="47"/>
      <c r="L175" s="47"/>
      <c r="M175" s="47"/>
      <c r="N175" s="47"/>
      <c r="O175" s="47"/>
      <c r="P175" s="49"/>
    </row>
    <row r="176" ht="16" customHeight="1">
      <c r="A176" s="46"/>
      <c r="B176" s="47"/>
      <c r="C176" s="47"/>
      <c r="D176" s="47"/>
      <c r="E176" s="47"/>
      <c r="F176" s="47"/>
      <c r="G176" s="97"/>
      <c r="H176" s="98"/>
      <c r="I176" s="97"/>
      <c r="J176" s="47"/>
      <c r="K176" s="47"/>
      <c r="L176" s="47"/>
      <c r="M176" s="47"/>
      <c r="N176" s="47"/>
      <c r="O176" s="47"/>
      <c r="P176" s="49"/>
    </row>
    <row r="177" ht="15" customHeight="1">
      <c r="A177" s="46"/>
      <c r="B177" s="47"/>
      <c r="C177" s="47"/>
      <c r="D177" s="47"/>
      <c r="E177" s="47"/>
      <c r="F177" s="84"/>
      <c r="G177" s="80"/>
      <c r="H177" t="s" s="81">
        <v>126</v>
      </c>
      <c r="I177" s="82"/>
      <c r="J177" s="83"/>
      <c r="K177" s="47"/>
      <c r="L177" s="47"/>
      <c r="M177" s="47"/>
      <c r="N177" s="47"/>
      <c r="O177" s="47"/>
      <c r="P177" s="49"/>
    </row>
    <row r="178" ht="16" customHeight="1">
      <c r="A178" s="46"/>
      <c r="B178" s="47"/>
      <c r="C178" s="47"/>
      <c r="D178" s="47"/>
      <c r="E178" s="47"/>
      <c r="F178" s="84"/>
      <c r="G178" s="83"/>
      <c r="H178" t="s" s="27">
        <v>127</v>
      </c>
      <c r="I178" s="84"/>
      <c r="J178" s="83"/>
      <c r="K178" s="47"/>
      <c r="L178" s="47"/>
      <c r="M178" s="47"/>
      <c r="N178" s="47"/>
      <c r="O178" s="47"/>
      <c r="P178" s="49"/>
    </row>
    <row r="179" ht="16" customHeight="1">
      <c r="A179" s="46"/>
      <c r="B179" s="47"/>
      <c r="C179" s="47"/>
      <c r="D179" s="47"/>
      <c r="E179" s="47"/>
      <c r="F179" s="84"/>
      <c r="G179" s="83"/>
      <c r="H179" t="s" s="27">
        <v>128</v>
      </c>
      <c r="I179" s="84"/>
      <c r="J179" s="83"/>
      <c r="K179" s="47"/>
      <c r="L179" s="47"/>
      <c r="M179" s="47"/>
      <c r="N179" s="47"/>
      <c r="O179" s="47"/>
      <c r="P179" s="49"/>
    </row>
    <row r="180" ht="15" customHeight="1">
      <c r="A180" s="46"/>
      <c r="B180" s="47"/>
      <c r="C180" s="47"/>
      <c r="D180" s="47"/>
      <c r="E180" s="47"/>
      <c r="F180" s="84"/>
      <c r="G180" s="83"/>
      <c r="H180" s="28"/>
      <c r="I180" s="84"/>
      <c r="J180" s="83"/>
      <c r="K180" s="47"/>
      <c r="L180" s="47"/>
      <c r="M180" s="47"/>
      <c r="N180" s="47"/>
      <c r="O180" s="47"/>
      <c r="P180" s="49"/>
    </row>
    <row r="181" ht="15" customHeight="1">
      <c r="A181" s="46"/>
      <c r="B181" s="47"/>
      <c r="C181" s="47"/>
      <c r="D181" s="47"/>
      <c r="E181" s="47"/>
      <c r="F181" s="84"/>
      <c r="G181" s="83"/>
      <c r="H181" s="28"/>
      <c r="I181" s="84"/>
      <c r="J181" s="83"/>
      <c r="K181" s="47"/>
      <c r="L181" s="47"/>
      <c r="M181" s="47"/>
      <c r="N181" s="47"/>
      <c r="O181" s="47"/>
      <c r="P181" s="49"/>
    </row>
    <row r="182" ht="15" customHeight="1">
      <c r="A182" s="46"/>
      <c r="B182" s="47"/>
      <c r="C182" s="47"/>
      <c r="D182" s="47"/>
      <c r="E182" s="47"/>
      <c r="F182" s="84"/>
      <c r="G182" s="83"/>
      <c r="H182" s="28"/>
      <c r="I182" s="84"/>
      <c r="J182" s="83"/>
      <c r="K182" s="47"/>
      <c r="L182" s="47"/>
      <c r="M182" s="47"/>
      <c r="N182" s="47"/>
      <c r="O182" s="47"/>
      <c r="P182" s="49"/>
    </row>
    <row r="183" ht="15" customHeight="1">
      <c r="A183" s="46"/>
      <c r="B183" s="47"/>
      <c r="C183" s="47"/>
      <c r="D183" s="47"/>
      <c r="E183" s="47"/>
      <c r="F183" s="84"/>
      <c r="G183" s="83"/>
      <c r="H183" s="28"/>
      <c r="I183" s="84"/>
      <c r="J183" s="83"/>
      <c r="K183" s="47"/>
      <c r="L183" s="47"/>
      <c r="M183" s="47"/>
      <c r="N183" s="47"/>
      <c r="O183" s="47"/>
      <c r="P183" s="49"/>
    </row>
    <row r="184" ht="15" customHeight="1">
      <c r="A184" s="46"/>
      <c r="B184" s="47"/>
      <c r="C184" s="47"/>
      <c r="D184" s="47"/>
      <c r="E184" s="47"/>
      <c r="F184" s="84"/>
      <c r="G184" s="83"/>
      <c r="H184" s="28"/>
      <c r="I184" s="84"/>
      <c r="J184" s="83"/>
      <c r="K184" s="47"/>
      <c r="L184" s="47"/>
      <c r="M184" s="47"/>
      <c r="N184" s="47"/>
      <c r="O184" s="47"/>
      <c r="P184" s="49"/>
    </row>
    <row r="185" ht="15" customHeight="1">
      <c r="A185" s="46"/>
      <c r="B185" s="47"/>
      <c r="C185" s="47"/>
      <c r="D185" s="47"/>
      <c r="E185" s="47"/>
      <c r="F185" s="84"/>
      <c r="G185" s="83"/>
      <c r="H185" s="28"/>
      <c r="I185" s="84"/>
      <c r="J185" s="83"/>
      <c r="K185" s="47"/>
      <c r="L185" s="47"/>
      <c r="M185" s="47"/>
      <c r="N185" s="47"/>
      <c r="O185" s="47"/>
      <c r="P185" s="49"/>
    </row>
    <row r="186" ht="15" customHeight="1">
      <c r="A186" s="46"/>
      <c r="B186" s="47"/>
      <c r="C186" s="47"/>
      <c r="D186" s="47"/>
      <c r="E186" s="47"/>
      <c r="F186" s="84"/>
      <c r="G186" s="83"/>
      <c r="H186" s="28"/>
      <c r="I186" s="84"/>
      <c r="J186" s="83"/>
      <c r="K186" s="47"/>
      <c r="L186" s="47"/>
      <c r="M186" s="47"/>
      <c r="N186" s="47"/>
      <c r="O186" s="47"/>
      <c r="P186" s="49"/>
    </row>
    <row r="187" ht="15" customHeight="1">
      <c r="A187" s="46"/>
      <c r="B187" s="47"/>
      <c r="C187" s="47"/>
      <c r="D187" s="47"/>
      <c r="E187" s="47"/>
      <c r="F187" s="84"/>
      <c r="G187" s="83"/>
      <c r="H187" s="28"/>
      <c r="I187" s="84"/>
      <c r="J187" s="83"/>
      <c r="K187" s="47"/>
      <c r="L187" s="47"/>
      <c r="M187" s="47"/>
      <c r="N187" s="47"/>
      <c r="O187" s="47"/>
      <c r="P187" s="49"/>
    </row>
    <row r="188" ht="15" customHeight="1">
      <c r="A188" s="46"/>
      <c r="B188" s="47"/>
      <c r="C188" s="47"/>
      <c r="D188" s="47"/>
      <c r="E188" s="47"/>
      <c r="F188" s="84"/>
      <c r="G188" s="83"/>
      <c r="H188" s="28"/>
      <c r="I188" s="84"/>
      <c r="J188" s="83"/>
      <c r="K188" s="47"/>
      <c r="L188" s="47"/>
      <c r="M188" s="47"/>
      <c r="N188" s="47"/>
      <c r="O188" s="47"/>
      <c r="P188" s="49"/>
    </row>
    <row r="189" ht="16" customHeight="1">
      <c r="A189" s="46"/>
      <c r="B189" s="47"/>
      <c r="C189" s="47"/>
      <c r="D189" s="47"/>
      <c r="E189" s="47"/>
      <c r="F189" s="84"/>
      <c r="G189" s="87"/>
      <c r="H189" s="100"/>
      <c r="I189" s="89"/>
      <c r="J189" s="83"/>
      <c r="K189" s="47"/>
      <c r="L189" s="47"/>
      <c r="M189" s="47"/>
      <c r="N189" s="47"/>
      <c r="O189" s="47"/>
      <c r="P189" s="49"/>
    </row>
    <row r="190" ht="16" customHeight="1">
      <c r="A190" s="46"/>
      <c r="B190" s="47"/>
      <c r="C190" s="47"/>
      <c r="D190" s="47"/>
      <c r="E190" s="47"/>
      <c r="F190" s="47"/>
      <c r="G190" s="97"/>
      <c r="H190" s="98"/>
      <c r="I190" s="97"/>
      <c r="J190" s="47"/>
      <c r="K190" s="47"/>
      <c r="L190" s="47"/>
      <c r="M190" s="47"/>
      <c r="N190" s="47"/>
      <c r="O190" s="47"/>
      <c r="P190" s="49"/>
    </row>
    <row r="191" ht="15" customHeight="1">
      <c r="A191" s="46"/>
      <c r="B191" s="47"/>
      <c r="C191" s="47"/>
      <c r="D191" s="47"/>
      <c r="E191" s="47"/>
      <c r="F191" s="84"/>
      <c r="G191" s="80"/>
      <c r="H191" t="s" s="81">
        <v>129</v>
      </c>
      <c r="I191" s="82"/>
      <c r="J191" s="83"/>
      <c r="K191" s="47"/>
      <c r="L191" s="47"/>
      <c r="M191" s="47"/>
      <c r="N191" s="47"/>
      <c r="O191" s="47"/>
      <c r="P191" s="49"/>
    </row>
    <row r="192" ht="16" customHeight="1">
      <c r="A192" s="46"/>
      <c r="B192" s="47"/>
      <c r="C192" s="47"/>
      <c r="D192" s="47"/>
      <c r="E192" s="47"/>
      <c r="F192" s="84"/>
      <c r="G192" s="83"/>
      <c r="H192" t="s" s="27">
        <v>130</v>
      </c>
      <c r="I192" s="84"/>
      <c r="J192" s="83"/>
      <c r="K192" s="47"/>
      <c r="L192" s="47"/>
      <c r="M192" s="47"/>
      <c r="N192" s="47"/>
      <c r="O192" s="47"/>
      <c r="P192" s="49"/>
    </row>
    <row r="193" ht="15" customHeight="1">
      <c r="A193" s="46"/>
      <c r="B193" s="47"/>
      <c r="C193" s="47"/>
      <c r="D193" s="47"/>
      <c r="E193" s="47"/>
      <c r="F193" s="84"/>
      <c r="G193" s="83"/>
      <c r="H193" s="28"/>
      <c r="I193" s="84"/>
      <c r="J193" s="83"/>
      <c r="K193" s="47"/>
      <c r="L193" s="47"/>
      <c r="M193" s="47"/>
      <c r="N193" s="47"/>
      <c r="O193" s="47"/>
      <c r="P193" s="49"/>
    </row>
    <row r="194" ht="15" customHeight="1">
      <c r="A194" s="46"/>
      <c r="B194" s="47"/>
      <c r="C194" s="47"/>
      <c r="D194" s="47"/>
      <c r="E194" s="47"/>
      <c r="F194" s="84"/>
      <c r="G194" s="83"/>
      <c r="H194" s="28"/>
      <c r="I194" s="84"/>
      <c r="J194" s="83"/>
      <c r="K194" s="47"/>
      <c r="L194" s="47"/>
      <c r="M194" s="47"/>
      <c r="N194" s="47"/>
      <c r="O194" s="47"/>
      <c r="P194" s="49"/>
    </row>
    <row r="195" ht="15" customHeight="1">
      <c r="A195" s="46"/>
      <c r="B195" s="47"/>
      <c r="C195" s="47"/>
      <c r="D195" s="47"/>
      <c r="E195" s="47"/>
      <c r="F195" s="84"/>
      <c r="G195" s="83"/>
      <c r="H195" s="28"/>
      <c r="I195" s="84"/>
      <c r="J195" s="83"/>
      <c r="K195" s="47"/>
      <c r="L195" s="47"/>
      <c r="M195" s="47"/>
      <c r="N195" s="47"/>
      <c r="O195" s="47"/>
      <c r="P195" s="49"/>
    </row>
    <row r="196" ht="15" customHeight="1">
      <c r="A196" s="46"/>
      <c r="B196" s="47"/>
      <c r="C196" s="47"/>
      <c r="D196" s="47"/>
      <c r="E196" s="47"/>
      <c r="F196" s="84"/>
      <c r="G196" s="83"/>
      <c r="H196" s="28"/>
      <c r="I196" s="84"/>
      <c r="J196" s="83"/>
      <c r="K196" s="47"/>
      <c r="L196" s="47"/>
      <c r="M196" s="47"/>
      <c r="N196" s="47"/>
      <c r="O196" s="47"/>
      <c r="P196" s="49"/>
    </row>
    <row r="197" ht="15" customHeight="1">
      <c r="A197" s="46"/>
      <c r="B197" s="47"/>
      <c r="C197" s="47"/>
      <c r="D197" s="47"/>
      <c r="E197" s="47"/>
      <c r="F197" s="84"/>
      <c r="G197" s="83"/>
      <c r="H197" s="28"/>
      <c r="I197" s="84"/>
      <c r="J197" s="83"/>
      <c r="K197" s="47"/>
      <c r="L197" s="47"/>
      <c r="M197" s="47"/>
      <c r="N197" s="47"/>
      <c r="O197" s="47"/>
      <c r="P197" s="49"/>
    </row>
    <row r="198" ht="15" customHeight="1">
      <c r="A198" s="46"/>
      <c r="B198" s="47"/>
      <c r="C198" s="47"/>
      <c r="D198" s="47"/>
      <c r="E198" s="47"/>
      <c r="F198" s="84"/>
      <c r="G198" s="83"/>
      <c r="H198" s="28"/>
      <c r="I198" s="84"/>
      <c r="J198" s="83"/>
      <c r="K198" s="47"/>
      <c r="L198" s="47"/>
      <c r="M198" s="47"/>
      <c r="N198" s="47"/>
      <c r="O198" s="47"/>
      <c r="P198" s="49"/>
    </row>
    <row r="199" ht="15" customHeight="1">
      <c r="A199" s="46"/>
      <c r="B199" s="47"/>
      <c r="C199" s="47"/>
      <c r="D199" s="47"/>
      <c r="E199" s="47"/>
      <c r="F199" s="84"/>
      <c r="G199" s="83"/>
      <c r="H199" s="28"/>
      <c r="I199" s="84"/>
      <c r="J199" s="83"/>
      <c r="K199" s="47"/>
      <c r="L199" s="47"/>
      <c r="M199" s="47"/>
      <c r="N199" s="47"/>
      <c r="O199" s="47"/>
      <c r="P199" s="49"/>
    </row>
    <row r="200" ht="15" customHeight="1">
      <c r="A200" s="46"/>
      <c r="B200" s="47"/>
      <c r="C200" s="47"/>
      <c r="D200" s="47"/>
      <c r="E200" s="47"/>
      <c r="F200" s="84"/>
      <c r="G200" s="83"/>
      <c r="H200" s="28"/>
      <c r="I200" s="84"/>
      <c r="J200" s="83"/>
      <c r="K200" s="47"/>
      <c r="L200" s="47"/>
      <c r="M200" s="47"/>
      <c r="N200" s="47"/>
      <c r="O200" s="47"/>
      <c r="P200" s="49"/>
    </row>
    <row r="201" ht="15" customHeight="1">
      <c r="A201" s="46"/>
      <c r="B201" s="47"/>
      <c r="C201" s="47"/>
      <c r="D201" s="47"/>
      <c r="E201" s="47"/>
      <c r="F201" s="84"/>
      <c r="G201" s="83"/>
      <c r="H201" s="28"/>
      <c r="I201" s="84"/>
      <c r="J201" s="83"/>
      <c r="K201" s="47"/>
      <c r="L201" s="47"/>
      <c r="M201" s="47"/>
      <c r="N201" s="47"/>
      <c r="O201" s="47"/>
      <c r="P201" s="49"/>
    </row>
    <row r="202" ht="15" customHeight="1">
      <c r="A202" s="46"/>
      <c r="B202" s="47"/>
      <c r="C202" s="47"/>
      <c r="D202" s="47"/>
      <c r="E202" s="47"/>
      <c r="F202" s="84"/>
      <c r="G202" s="83"/>
      <c r="H202" s="28"/>
      <c r="I202" s="84"/>
      <c r="J202" s="83"/>
      <c r="K202" s="47"/>
      <c r="L202" s="47"/>
      <c r="M202" s="47"/>
      <c r="N202" s="47"/>
      <c r="O202" s="47"/>
      <c r="P202" s="49"/>
    </row>
    <row r="203" ht="15" customHeight="1">
      <c r="A203" s="46"/>
      <c r="B203" s="47"/>
      <c r="C203" s="47"/>
      <c r="D203" s="47"/>
      <c r="E203" s="47"/>
      <c r="F203" s="84"/>
      <c r="G203" s="83"/>
      <c r="H203" s="28"/>
      <c r="I203" s="84"/>
      <c r="J203" s="83"/>
      <c r="K203" s="47"/>
      <c r="L203" s="47"/>
      <c r="M203" s="47"/>
      <c r="N203" s="47"/>
      <c r="O203" s="47"/>
      <c r="P203" s="49"/>
    </row>
    <row r="204" ht="15" customHeight="1">
      <c r="A204" s="46"/>
      <c r="B204" s="47"/>
      <c r="C204" s="47"/>
      <c r="D204" s="47"/>
      <c r="E204" s="47"/>
      <c r="F204" s="84"/>
      <c r="G204" s="83"/>
      <c r="H204" s="28"/>
      <c r="I204" s="84"/>
      <c r="J204" s="83"/>
      <c r="K204" s="47"/>
      <c r="L204" s="47"/>
      <c r="M204" s="47"/>
      <c r="N204" s="47"/>
      <c r="O204" s="47"/>
      <c r="P204" s="49"/>
    </row>
    <row r="205" ht="15" customHeight="1">
      <c r="A205" s="46"/>
      <c r="B205" s="47"/>
      <c r="C205" s="47"/>
      <c r="D205" s="47"/>
      <c r="E205" s="47"/>
      <c r="F205" s="84"/>
      <c r="G205" s="83"/>
      <c r="H205" s="28"/>
      <c r="I205" s="84"/>
      <c r="J205" s="83"/>
      <c r="K205" s="47"/>
      <c r="L205" s="47"/>
      <c r="M205" s="47"/>
      <c r="N205" s="47"/>
      <c r="O205" s="47"/>
      <c r="P205" s="49"/>
    </row>
    <row r="206" ht="15" customHeight="1">
      <c r="A206" s="46"/>
      <c r="B206" s="47"/>
      <c r="C206" s="47"/>
      <c r="D206" s="47"/>
      <c r="E206" s="47"/>
      <c r="F206" s="84"/>
      <c r="G206" s="83"/>
      <c r="H206" s="28"/>
      <c r="I206" s="84"/>
      <c r="J206" s="83"/>
      <c r="K206" s="47"/>
      <c r="L206" s="47"/>
      <c r="M206" s="47"/>
      <c r="N206" s="47"/>
      <c r="O206" s="47"/>
      <c r="P206" s="49"/>
    </row>
    <row r="207" ht="15" customHeight="1">
      <c r="A207" s="46"/>
      <c r="B207" s="47"/>
      <c r="C207" s="47"/>
      <c r="D207" s="47"/>
      <c r="E207" s="47"/>
      <c r="F207" s="84"/>
      <c r="G207" s="83"/>
      <c r="H207" s="28"/>
      <c r="I207" s="84"/>
      <c r="J207" s="83"/>
      <c r="K207" s="47"/>
      <c r="L207" s="47"/>
      <c r="M207" s="47"/>
      <c r="N207" s="47"/>
      <c r="O207" s="47"/>
      <c r="P207" s="49"/>
    </row>
    <row r="208" ht="15" customHeight="1">
      <c r="A208" s="46"/>
      <c r="B208" s="47"/>
      <c r="C208" s="47"/>
      <c r="D208" s="47"/>
      <c r="E208" s="47"/>
      <c r="F208" s="84"/>
      <c r="G208" s="83"/>
      <c r="H208" s="28"/>
      <c r="I208" s="84"/>
      <c r="J208" s="83"/>
      <c r="K208" s="47"/>
      <c r="L208" s="47"/>
      <c r="M208" s="47"/>
      <c r="N208" s="47"/>
      <c r="O208" s="47"/>
      <c r="P208" s="49"/>
    </row>
    <row r="209" ht="16" customHeight="1">
      <c r="A209" s="108"/>
      <c r="B209" s="109"/>
      <c r="C209" s="109"/>
      <c r="D209" s="109"/>
      <c r="E209" s="109"/>
      <c r="F209" s="110"/>
      <c r="G209" s="87"/>
      <c r="H209" s="100"/>
      <c r="I209" s="89"/>
      <c r="J209" s="111"/>
      <c r="K209" s="109"/>
      <c r="L209" s="109"/>
      <c r="M209" s="109"/>
      <c r="N209" s="109"/>
      <c r="O209" s="109"/>
      <c r="P209" s="112"/>
    </row>
  </sheetData>
  <mergeCells count="21">
    <mergeCell ref="H21:H22"/>
    <mergeCell ref="H86:H87"/>
    <mergeCell ref="H96:H97"/>
    <mergeCell ref="H81:H83"/>
    <mergeCell ref="G23:I29"/>
    <mergeCell ref="D83:D84"/>
    <mergeCell ref="D85:D86"/>
    <mergeCell ref="B10:E10"/>
    <mergeCell ref="H41:H44"/>
    <mergeCell ref="D50:D51"/>
    <mergeCell ref="C50:C51"/>
    <mergeCell ref="D54:D56"/>
    <mergeCell ref="C12:D12"/>
    <mergeCell ref="H32:H35"/>
    <mergeCell ref="D79:D80"/>
    <mergeCell ref="H57:H58"/>
    <mergeCell ref="D70:D72"/>
    <mergeCell ref="D76:D77"/>
    <mergeCell ref="C76:C77"/>
    <mergeCell ref="D62:D63"/>
    <mergeCell ref="H64:H65"/>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4.xml><?xml version="1.0" encoding="utf-8"?>
<worksheet xmlns:r="http://schemas.openxmlformats.org/officeDocument/2006/relationships" xmlns="http://schemas.openxmlformats.org/spreadsheetml/2006/main">
  <dimension ref="A1:BS144"/>
  <sheetViews>
    <sheetView workbookViewId="0" showGridLines="0" defaultGridColor="1"/>
  </sheetViews>
  <sheetFormatPr defaultColWidth="8.83333" defaultRowHeight="15" customHeight="1" outlineLevelRow="0" outlineLevelCol="0"/>
  <cols>
    <col min="1" max="1" width="2.85156" style="113" customWidth="1"/>
    <col min="2" max="2" width="20.8516" style="113" customWidth="1"/>
    <col min="3" max="3" width="16.3516" style="113" customWidth="1"/>
    <col min="4" max="4" width="10.8516" style="113" customWidth="1"/>
    <col min="5" max="6" width="9.85156" style="113" customWidth="1"/>
    <col min="7" max="7" width="15.3516" style="113" customWidth="1"/>
    <col min="8" max="8" width="12" style="113" customWidth="1"/>
    <col min="9" max="9" width="11.1719" style="113" customWidth="1"/>
    <col min="10" max="10" width="25" style="113" customWidth="1"/>
    <col min="11" max="11" width="15.6719" style="113" customWidth="1"/>
    <col min="12" max="13" width="12.8516" style="113" customWidth="1"/>
    <col min="14" max="15" width="12.6719" style="113" customWidth="1"/>
    <col min="16" max="17" width="14" style="113" customWidth="1"/>
    <col min="18" max="19" width="14.6719" style="113" customWidth="1"/>
    <col min="20" max="20" width="16.8516" style="113" customWidth="1"/>
    <col min="21" max="21" width="15.5" style="113" customWidth="1"/>
    <col min="22" max="22" width="17.8516" style="113" customWidth="1"/>
    <col min="23" max="23" width="15.5" style="113" customWidth="1"/>
    <col min="24" max="24" width="16.5" style="113" customWidth="1"/>
    <col min="25" max="25" width="10.3516" style="113" customWidth="1"/>
    <col min="26" max="26" width="15.6719" style="113" customWidth="1"/>
    <col min="27" max="27" width="14.5" style="113" customWidth="1"/>
    <col min="28" max="29" width="18.8516" style="113" customWidth="1"/>
    <col min="30" max="71" width="8.85156" style="113" customWidth="1"/>
    <col min="72" max="16384" width="8.85156" style="113" customWidth="1"/>
  </cols>
  <sheetData>
    <row r="1" ht="19" customHeight="1">
      <c r="A1" s="114"/>
      <c r="B1" t="s" s="115">
        <v>132</v>
      </c>
      <c r="C1" s="116"/>
      <c r="D1" s="116"/>
      <c r="E1" s="43"/>
      <c r="F1" s="43"/>
      <c r="G1" s="117"/>
      <c r="H1" s="116"/>
      <c r="I1" t="s" s="118">
        <v>20</v>
      </c>
      <c r="J1" t="s" s="119">
        <f>'Cover page'!D3</f>
        <v>133</v>
      </c>
      <c r="K1" s="116"/>
      <c r="L1" s="120"/>
      <c r="M1" s="116"/>
      <c r="N1" s="116"/>
      <c r="O1" s="116"/>
      <c r="P1" s="116"/>
      <c r="Q1" s="116"/>
      <c r="R1" s="43"/>
      <c r="S1" s="43"/>
      <c r="T1" s="43"/>
      <c r="U1" s="43"/>
      <c r="V1" s="43"/>
      <c r="W1" s="43"/>
      <c r="X1" s="116"/>
      <c r="Y1" s="116"/>
      <c r="Z1" s="116"/>
      <c r="AA1" s="116"/>
      <c r="AB1" s="116"/>
      <c r="AC1" s="116"/>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5"/>
    </row>
    <row r="2" ht="19" customHeight="1">
      <c r="A2" s="121"/>
      <c r="B2" t="s" s="122">
        <v>134</v>
      </c>
      <c r="C2" s="123"/>
      <c r="D2" s="123"/>
      <c r="E2" s="47"/>
      <c r="F2" s="47"/>
      <c r="G2" s="124"/>
      <c r="H2" s="123"/>
      <c r="I2" s="123"/>
      <c r="J2" s="123"/>
      <c r="K2" s="123"/>
      <c r="L2" s="123"/>
      <c r="M2" s="123"/>
      <c r="N2" s="123"/>
      <c r="O2" s="123"/>
      <c r="P2" s="123"/>
      <c r="Q2" s="123"/>
      <c r="R2" s="47"/>
      <c r="S2" s="47"/>
      <c r="T2" s="47"/>
      <c r="U2" s="47"/>
      <c r="V2" s="47"/>
      <c r="W2" s="47"/>
      <c r="X2" s="123"/>
      <c r="Y2" s="123"/>
      <c r="Z2" s="123"/>
      <c r="AA2" s="123"/>
      <c r="AB2" s="123"/>
      <c r="AC2" s="123"/>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9"/>
    </row>
    <row r="3" ht="16" customHeight="1">
      <c r="A3" s="121"/>
      <c r="B3" t="s" s="125">
        <v>135</v>
      </c>
      <c r="C3" s="123"/>
      <c r="D3" s="123"/>
      <c r="E3" s="47"/>
      <c r="F3" s="47"/>
      <c r="G3" s="124"/>
      <c r="H3" s="123"/>
      <c r="I3" s="123"/>
      <c r="J3" s="123"/>
      <c r="K3" s="123"/>
      <c r="L3" s="123"/>
      <c r="M3" s="123"/>
      <c r="N3" s="123"/>
      <c r="O3" s="123"/>
      <c r="P3" s="123"/>
      <c r="Q3" s="123"/>
      <c r="R3" s="47"/>
      <c r="S3" s="47"/>
      <c r="T3" s="47"/>
      <c r="U3" s="126"/>
      <c r="V3" s="126"/>
      <c r="W3" s="126"/>
      <c r="X3" s="123"/>
      <c r="Y3" s="123"/>
      <c r="Z3" s="127"/>
      <c r="AA3" s="123"/>
      <c r="AB3" s="123"/>
      <c r="AC3" s="123"/>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9"/>
    </row>
    <row r="4" ht="9" customHeight="1">
      <c r="A4" s="121"/>
      <c r="B4" s="128"/>
      <c r="C4" s="129"/>
      <c r="D4" s="129"/>
      <c r="E4" s="47"/>
      <c r="F4" s="47"/>
      <c r="G4" s="124"/>
      <c r="H4" s="123"/>
      <c r="I4" s="123"/>
      <c r="J4" s="123"/>
      <c r="K4" s="123"/>
      <c r="L4" s="123"/>
      <c r="M4" s="123"/>
      <c r="N4" s="123"/>
      <c r="O4" s="123"/>
      <c r="P4" s="123"/>
      <c r="Q4" s="123"/>
      <c r="R4" s="47"/>
      <c r="S4" s="47"/>
      <c r="T4" s="47"/>
      <c r="U4" s="47"/>
      <c r="V4" s="47"/>
      <c r="W4" s="47"/>
      <c r="X4" s="123"/>
      <c r="Y4" s="123"/>
      <c r="Z4" s="123"/>
      <c r="AA4" s="123"/>
      <c r="AB4" s="123"/>
      <c r="AC4" s="123"/>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9"/>
    </row>
    <row r="5" ht="19.75" customHeight="1">
      <c r="A5" s="130"/>
      <c r="B5" t="s" s="131">
        <v>136</v>
      </c>
      <c r="C5" s="132"/>
      <c r="D5" s="133">
        <v>135</v>
      </c>
      <c r="E5" s="14"/>
      <c r="F5" s="47"/>
      <c r="G5" s="124"/>
      <c r="H5" s="123"/>
      <c r="I5" s="123"/>
      <c r="J5" s="123"/>
      <c r="K5" s="123"/>
      <c r="L5" s="123"/>
      <c r="M5" s="123"/>
      <c r="N5" s="123"/>
      <c r="O5" s="123"/>
      <c r="P5" s="123"/>
      <c r="Q5" s="123"/>
      <c r="R5" s="47"/>
      <c r="S5" s="47"/>
      <c r="T5" s="47"/>
      <c r="U5" s="47"/>
      <c r="V5" s="47"/>
      <c r="W5" s="47"/>
      <c r="X5" s="123"/>
      <c r="Y5" s="123"/>
      <c r="Z5" s="123"/>
      <c r="AA5" s="123"/>
      <c r="AB5" s="123"/>
      <c r="AC5" s="123"/>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9"/>
    </row>
    <row r="6" ht="19.75" customHeight="1">
      <c r="A6" s="130"/>
      <c r="B6" t="s" s="134">
        <v>137</v>
      </c>
      <c r="C6" s="135"/>
      <c r="D6" t="s" s="136">
        <v>138</v>
      </c>
      <c r="E6" s="14"/>
      <c r="F6" s="47"/>
      <c r="G6" s="124"/>
      <c r="H6" t="s" s="137">
        <v>139</v>
      </c>
      <c r="I6" t="s" s="138">
        <f>'RESULTS'!H5</f>
        <v>140</v>
      </c>
      <c r="J6" t="s" s="139">
        <v>141</v>
      </c>
      <c r="K6" s="123"/>
      <c r="L6" s="123"/>
      <c r="M6" s="123"/>
      <c r="N6" s="123"/>
      <c r="O6" s="123"/>
      <c r="P6" s="123"/>
      <c r="Q6" s="123"/>
      <c r="R6" s="47"/>
      <c r="S6" s="47"/>
      <c r="T6" s="47"/>
      <c r="U6" s="47"/>
      <c r="V6" s="47"/>
      <c r="W6" s="47"/>
      <c r="X6" s="123"/>
      <c r="Y6" s="123"/>
      <c r="Z6" s="123"/>
      <c r="AA6" s="123"/>
      <c r="AB6" s="123"/>
      <c r="AC6" s="123"/>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9"/>
    </row>
    <row r="7" ht="10.25" customHeight="1">
      <c r="A7" s="121"/>
      <c r="B7" s="140"/>
      <c r="C7" s="141"/>
      <c r="D7" s="141"/>
      <c r="E7" s="40"/>
      <c r="F7" s="40"/>
      <c r="G7" s="142"/>
      <c r="H7" s="129"/>
      <c r="I7" s="129"/>
      <c r="J7" s="129"/>
      <c r="K7" s="129"/>
      <c r="L7" s="129"/>
      <c r="M7" s="129"/>
      <c r="N7" s="129"/>
      <c r="O7" s="129"/>
      <c r="P7" s="129"/>
      <c r="Q7" s="129"/>
      <c r="R7" s="40"/>
      <c r="S7" s="40"/>
      <c r="T7" s="40"/>
      <c r="U7" s="40"/>
      <c r="V7" s="40"/>
      <c r="W7" s="40"/>
      <c r="X7" s="129"/>
      <c r="Y7" s="129"/>
      <c r="Z7" s="129"/>
      <c r="AA7" s="129"/>
      <c r="AB7" s="123"/>
      <c r="AC7" s="123"/>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9"/>
    </row>
    <row r="8" ht="18" customHeight="1">
      <c r="A8" s="130"/>
      <c r="B8" t="s" s="143">
        <v>142</v>
      </c>
      <c r="C8" s="144"/>
      <c r="D8" s="145"/>
      <c r="E8" t="s" s="146">
        <v>143</v>
      </c>
      <c r="F8" s="147"/>
      <c r="G8" s="147"/>
      <c r="H8" s="148"/>
      <c r="I8" s="148"/>
      <c r="J8" s="147"/>
      <c r="K8" s="149"/>
      <c r="L8" t="s" s="150">
        <v>144</v>
      </c>
      <c r="M8" s="151"/>
      <c r="N8" s="151"/>
      <c r="O8" s="151"/>
      <c r="P8" s="151"/>
      <c r="Q8" s="152"/>
      <c r="R8" t="s" s="153">
        <v>145</v>
      </c>
      <c r="S8" s="154"/>
      <c r="T8" s="154"/>
      <c r="U8" s="154"/>
      <c r="V8" s="154"/>
      <c r="W8" s="155"/>
      <c r="X8" t="s" s="156">
        <v>146</v>
      </c>
      <c r="Y8" s="157"/>
      <c r="Z8" s="157"/>
      <c r="AA8" s="158"/>
      <c r="AB8" s="159"/>
      <c r="AC8" s="129"/>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9"/>
    </row>
    <row r="9" ht="80" customHeight="1">
      <c r="A9" s="130"/>
      <c r="B9" t="s" s="160">
        <v>147</v>
      </c>
      <c r="C9" t="s" s="161">
        <v>148</v>
      </c>
      <c r="D9" t="s" s="162">
        <v>149</v>
      </c>
      <c r="E9" t="s" s="160">
        <v>150</v>
      </c>
      <c r="F9" t="s" s="161">
        <v>151</v>
      </c>
      <c r="G9" t="s" s="161">
        <v>152</v>
      </c>
      <c r="H9" t="s" s="161">
        <v>153</v>
      </c>
      <c r="I9" t="s" s="161">
        <v>154</v>
      </c>
      <c r="J9" t="s" s="163">
        <v>155</v>
      </c>
      <c r="K9" t="s" s="162">
        <v>156</v>
      </c>
      <c r="L9" t="s" s="160">
        <v>157</v>
      </c>
      <c r="M9" t="s" s="161">
        <v>158</v>
      </c>
      <c r="N9" t="s" s="161">
        <v>159</v>
      </c>
      <c r="O9" t="s" s="161">
        <v>160</v>
      </c>
      <c r="P9" t="s" s="161">
        <v>161</v>
      </c>
      <c r="Q9" t="s" s="161">
        <v>162</v>
      </c>
      <c r="R9" t="s" s="161">
        <v>163</v>
      </c>
      <c r="S9" t="s" s="161">
        <v>164</v>
      </c>
      <c r="T9" t="s" s="161">
        <v>165</v>
      </c>
      <c r="U9" t="s" s="161">
        <v>166</v>
      </c>
      <c r="V9" t="s" s="161">
        <v>167</v>
      </c>
      <c r="W9" t="s" s="162">
        <v>168</v>
      </c>
      <c r="X9" t="s" s="160">
        <v>169</v>
      </c>
      <c r="Y9" t="s" s="161">
        <v>170</v>
      </c>
      <c r="Z9" t="s" s="161">
        <v>171</v>
      </c>
      <c r="AA9" t="s" s="164">
        <v>172</v>
      </c>
      <c r="AB9" t="s" s="165">
        <v>173</v>
      </c>
      <c r="AC9" t="s" s="162">
        <v>174</v>
      </c>
      <c r="AD9" s="14"/>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9"/>
    </row>
    <row r="10" ht="16" customHeight="1">
      <c r="A10" s="130"/>
      <c r="B10" t="s" s="166">
        <v>175</v>
      </c>
      <c r="C10" t="s" s="167">
        <v>176</v>
      </c>
      <c r="D10" s="168">
        <v>10.9</v>
      </c>
      <c r="E10" s="169"/>
      <c r="F10" s="169"/>
      <c r="G10" t="s" s="167">
        <v>177</v>
      </c>
      <c r="H10" s="170">
        <v>9</v>
      </c>
      <c r="I10" t="s" s="171">
        <f>'Calculations'!G4</f>
        <v>178</v>
      </c>
      <c r="J10" t="s" s="172">
        <v>179</v>
      </c>
      <c r="K10" t="s" s="173">
        <v>138</v>
      </c>
      <c r="L10" t="s" s="173">
        <v>180</v>
      </c>
      <c r="M10" s="174">
        <v>0.96</v>
      </c>
      <c r="N10" s="174">
        <v>0.55</v>
      </c>
      <c r="O10" s="175"/>
      <c r="P10" s="174">
        <v>1.04</v>
      </c>
      <c r="Q10" s="174">
        <v>0.62</v>
      </c>
      <c r="R10" t="s" s="176">
        <v>138</v>
      </c>
      <c r="S10" t="s" s="176">
        <v>138</v>
      </c>
      <c r="T10" s="177"/>
      <c r="U10" s="177"/>
      <c r="V10" s="170">
        <v>12</v>
      </c>
      <c r="W10" s="170">
        <v>90</v>
      </c>
      <c r="X10" s="178"/>
      <c r="Y10" s="178"/>
      <c r="Z10" s="175"/>
      <c r="AA10" s="179"/>
      <c r="AB10" s="180">
        <f>'Calculations'!W4</f>
        <v>90</v>
      </c>
      <c r="AC10" s="181">
        <f>'Calculations'!AG4</f>
        <v>12</v>
      </c>
      <c r="AD10" s="14"/>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9"/>
    </row>
    <row r="11" ht="16" customHeight="1">
      <c r="A11" s="130"/>
      <c r="B11" t="s" s="166">
        <v>181</v>
      </c>
      <c r="C11" s="169"/>
      <c r="D11" s="168">
        <v>19</v>
      </c>
      <c r="E11" s="169"/>
      <c r="F11" s="169"/>
      <c r="G11" t="s" s="167">
        <v>182</v>
      </c>
      <c r="H11" s="170">
        <v>9</v>
      </c>
      <c r="I11" t="s" s="171">
        <f>'Calculations'!G5</f>
        <v>178</v>
      </c>
      <c r="J11" t="s" s="172">
        <v>183</v>
      </c>
      <c r="K11" s="175"/>
      <c r="L11" t="s" s="173">
        <v>180</v>
      </c>
      <c r="M11" s="174">
        <v>0.54</v>
      </c>
      <c r="N11" s="174">
        <v>1.92</v>
      </c>
      <c r="O11" s="175"/>
      <c r="P11" s="175"/>
      <c r="Q11" s="175"/>
      <c r="R11" s="177"/>
      <c r="S11" s="177"/>
      <c r="T11" s="177"/>
      <c r="U11" s="177"/>
      <c r="V11" s="177"/>
      <c r="W11" s="177"/>
      <c r="X11" s="178"/>
      <c r="Y11" s="178"/>
      <c r="Z11" s="175"/>
      <c r="AA11" s="179"/>
      <c r="AB11" t="s" s="182">
        <f>'Calculations'!W5</f>
      </c>
      <c r="AC11" t="s" s="183">
        <f>'Calculations'!AG5</f>
      </c>
      <c r="AD11" s="14"/>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9"/>
    </row>
    <row r="12" ht="16" customHeight="1">
      <c r="A12" s="130"/>
      <c r="B12" t="s" s="166">
        <v>184</v>
      </c>
      <c r="C12" t="s" s="167">
        <v>185</v>
      </c>
      <c r="D12" s="168">
        <v>6.4</v>
      </c>
      <c r="E12" s="169"/>
      <c r="F12" s="169"/>
      <c r="G12" t="s" s="167">
        <v>186</v>
      </c>
      <c r="H12" s="170">
        <v>9</v>
      </c>
      <c r="I12" t="s" s="171">
        <f>'Calculations'!G6</f>
        <v>178</v>
      </c>
      <c r="J12" t="s" s="172">
        <v>183</v>
      </c>
      <c r="K12" s="175"/>
      <c r="L12" t="s" s="173">
        <v>180</v>
      </c>
      <c r="M12" s="174">
        <v>1.04</v>
      </c>
      <c r="N12" s="174">
        <v>0.42</v>
      </c>
      <c r="O12" s="175"/>
      <c r="P12" s="175"/>
      <c r="Q12" s="175"/>
      <c r="R12" s="177"/>
      <c r="S12" s="177"/>
      <c r="T12" s="177"/>
      <c r="U12" s="177"/>
      <c r="V12" s="177"/>
      <c r="W12" s="177"/>
      <c r="X12" s="178"/>
      <c r="Y12" s="178"/>
      <c r="Z12" s="175"/>
      <c r="AA12" s="179"/>
      <c r="AB12" t="s" s="182">
        <f>'Calculations'!W6</f>
      </c>
      <c r="AC12" t="s" s="183">
        <f>'Calculations'!AG6</f>
      </c>
      <c r="AD12" s="14"/>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9"/>
    </row>
    <row r="13" ht="16" customHeight="1">
      <c r="A13" s="130"/>
      <c r="B13" t="s" s="166">
        <v>187</v>
      </c>
      <c r="C13" s="169"/>
      <c r="D13" s="168">
        <v>6</v>
      </c>
      <c r="E13" s="169"/>
      <c r="F13" s="169"/>
      <c r="G13" t="s" s="167">
        <v>188</v>
      </c>
      <c r="H13" s="170">
        <v>6</v>
      </c>
      <c r="I13" t="s" s="171">
        <f>'Calculations'!G7</f>
        <v>189</v>
      </c>
      <c r="J13" t="s" s="172">
        <v>179</v>
      </c>
      <c r="K13" t="s" s="173">
        <v>138</v>
      </c>
      <c r="L13" t="s" s="173">
        <v>180</v>
      </c>
      <c r="M13" s="174">
        <v>0.66</v>
      </c>
      <c r="N13" s="174">
        <v>0.35</v>
      </c>
      <c r="O13" s="175"/>
      <c r="P13" s="174">
        <v>0.74</v>
      </c>
      <c r="Q13" s="174">
        <v>0.42</v>
      </c>
      <c r="R13" s="177"/>
      <c r="S13" s="177"/>
      <c r="T13" s="177"/>
      <c r="U13" s="177"/>
      <c r="V13" s="177"/>
      <c r="W13" s="177"/>
      <c r="X13" s="178"/>
      <c r="Y13" s="178"/>
      <c r="Z13" s="175"/>
      <c r="AA13" s="184">
        <v>90</v>
      </c>
      <c r="AB13" s="180">
        <f>'Calculations'!W7</f>
        <v>90</v>
      </c>
      <c r="AC13" t="s" s="183">
        <f>'Calculations'!AG7</f>
      </c>
      <c r="AD13" s="14"/>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7"/>
      <c r="BL13" s="47"/>
      <c r="BM13" s="47"/>
      <c r="BN13" s="47"/>
      <c r="BO13" s="47"/>
      <c r="BP13" s="47"/>
      <c r="BQ13" s="47"/>
      <c r="BR13" s="47"/>
      <c r="BS13" s="49"/>
    </row>
    <row r="14" ht="16" customHeight="1">
      <c r="A14" s="130"/>
      <c r="B14" t="s" s="166">
        <v>190</v>
      </c>
      <c r="C14" t="s" s="167">
        <v>191</v>
      </c>
      <c r="D14" s="168">
        <v>17.9</v>
      </c>
      <c r="E14" s="169"/>
      <c r="F14" s="169"/>
      <c r="G14" t="s" s="167">
        <v>192</v>
      </c>
      <c r="H14" s="170">
        <v>6</v>
      </c>
      <c r="I14" t="s" s="171">
        <f>'Calculations'!G8</f>
        <v>189</v>
      </c>
      <c r="J14" t="s" s="172">
        <v>179</v>
      </c>
      <c r="K14" t="s" s="173">
        <v>138</v>
      </c>
      <c r="L14" t="s" s="173">
        <v>180</v>
      </c>
      <c r="M14" s="174">
        <v>1.26</v>
      </c>
      <c r="N14" s="174">
        <v>1.25</v>
      </c>
      <c r="O14" s="175"/>
      <c r="P14" s="174">
        <v>1.34</v>
      </c>
      <c r="Q14" s="174">
        <v>1.32</v>
      </c>
      <c r="R14" t="s" s="176">
        <v>138</v>
      </c>
      <c r="S14" t="s" s="176">
        <v>138</v>
      </c>
      <c r="T14" s="177"/>
      <c r="U14" s="177"/>
      <c r="V14" s="170">
        <v>15</v>
      </c>
      <c r="W14" s="170">
        <v>90</v>
      </c>
      <c r="X14" s="178"/>
      <c r="Y14" s="178"/>
      <c r="Z14" s="175"/>
      <c r="AA14" s="179"/>
      <c r="AB14" s="180">
        <f>'Calculations'!W8</f>
        <v>90</v>
      </c>
      <c r="AC14" s="181">
        <f>'Calculations'!AG8</f>
        <v>15</v>
      </c>
      <c r="AD14" s="14"/>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9"/>
    </row>
    <row r="15" ht="48" customHeight="1">
      <c r="A15" s="130"/>
      <c r="B15" t="s" s="166">
        <v>193</v>
      </c>
      <c r="C15" t="s" s="167">
        <v>194</v>
      </c>
      <c r="D15" s="168">
        <v>7.7449</v>
      </c>
      <c r="E15" s="169"/>
      <c r="F15" s="169"/>
      <c r="G15" t="s" s="167">
        <v>195</v>
      </c>
      <c r="H15" s="170">
        <v>6</v>
      </c>
      <c r="I15" t="s" s="171">
        <f>'Calculations'!G9</f>
        <v>189</v>
      </c>
      <c r="J15" t="s" s="172">
        <v>196</v>
      </c>
      <c r="K15" t="s" s="173">
        <v>138</v>
      </c>
      <c r="L15" t="s" s="173">
        <v>180</v>
      </c>
      <c r="M15" s="174">
        <v>0.77</v>
      </c>
      <c r="N15" s="174">
        <v>1.82</v>
      </c>
      <c r="O15" s="175"/>
      <c r="P15" s="174">
        <v>0.9399999999999999</v>
      </c>
      <c r="Q15" s="174">
        <v>1.98</v>
      </c>
      <c r="R15" s="177"/>
      <c r="S15" s="177"/>
      <c r="T15" s="177"/>
      <c r="U15" s="177"/>
      <c r="V15" s="177"/>
      <c r="W15" s="177"/>
      <c r="X15" s="178"/>
      <c r="Y15" s="178"/>
      <c r="Z15" s="175"/>
      <c r="AA15" s="179"/>
      <c r="AB15" s="180">
        <f>'Calculations'!W9</f>
        <v>90</v>
      </c>
      <c r="AC15" t="s" s="183">
        <f>'Calculations'!AG9</f>
      </c>
      <c r="AD15" s="14"/>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9"/>
    </row>
    <row r="16" ht="32" customHeight="1">
      <c r="A16" s="130"/>
      <c r="B16" t="s" s="166">
        <v>197</v>
      </c>
      <c r="C16" t="s" s="167">
        <v>198</v>
      </c>
      <c r="D16" s="168">
        <v>34.002</v>
      </c>
      <c r="E16" s="169"/>
      <c r="F16" s="169"/>
      <c r="G16" t="s" s="167">
        <v>195</v>
      </c>
      <c r="H16" s="170">
        <v>6</v>
      </c>
      <c r="I16" t="s" s="171">
        <f>'Calculations'!G10</f>
        <v>189</v>
      </c>
      <c r="J16" t="s" s="172">
        <v>196</v>
      </c>
      <c r="K16" t="s" s="173">
        <v>199</v>
      </c>
      <c r="L16" t="s" s="173">
        <v>180</v>
      </c>
      <c r="M16" s="174">
        <v>0.86</v>
      </c>
      <c r="N16" s="174">
        <v>1.97</v>
      </c>
      <c r="O16" s="175"/>
      <c r="P16" s="175"/>
      <c r="Q16" s="175"/>
      <c r="R16" s="177"/>
      <c r="S16" s="177"/>
      <c r="T16" s="177"/>
      <c r="U16" s="177"/>
      <c r="V16" s="177"/>
      <c r="W16" s="177"/>
      <c r="X16" s="178"/>
      <c r="Y16" s="178"/>
      <c r="Z16" s="175"/>
      <c r="AA16" s="179"/>
      <c r="AB16" t="s" s="182">
        <f>'Calculations'!W10</f>
      </c>
      <c r="AC16" t="s" s="183">
        <f>'Calculations'!AG10</f>
      </c>
      <c r="AD16" s="14"/>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9"/>
    </row>
    <row r="17" ht="16" customHeight="1">
      <c r="A17" s="130"/>
      <c r="B17" t="s" s="166">
        <v>197</v>
      </c>
      <c r="C17" t="s" s="167">
        <v>200</v>
      </c>
      <c r="D17" s="168">
        <v>34.002</v>
      </c>
      <c r="E17" s="169"/>
      <c r="F17" s="169"/>
      <c r="G17" t="s" s="167">
        <v>201</v>
      </c>
      <c r="H17" s="170">
        <v>6</v>
      </c>
      <c r="I17" t="s" s="171">
        <f>'Calculations'!G11</f>
        <v>189</v>
      </c>
      <c r="J17" t="s" s="172">
        <v>179</v>
      </c>
      <c r="K17" t="s" s="173">
        <v>138</v>
      </c>
      <c r="L17" t="s" s="173">
        <v>180</v>
      </c>
      <c r="M17" s="174">
        <v>1.26</v>
      </c>
      <c r="N17" s="174">
        <v>1.25</v>
      </c>
      <c r="O17" s="175"/>
      <c r="P17" s="174">
        <v>1.34</v>
      </c>
      <c r="Q17" s="174">
        <v>1.32</v>
      </c>
      <c r="R17" s="177"/>
      <c r="S17" s="177"/>
      <c r="T17" s="177"/>
      <c r="U17" s="177"/>
      <c r="V17" s="177"/>
      <c r="W17" s="177"/>
      <c r="X17" s="178"/>
      <c r="Y17" s="178"/>
      <c r="Z17" s="175"/>
      <c r="AA17" s="184">
        <v>90</v>
      </c>
      <c r="AB17" s="180">
        <f>'Calculations'!W11</f>
        <v>90</v>
      </c>
      <c r="AC17" t="s" s="183">
        <f>'Calculations'!AG11</f>
      </c>
      <c r="AD17" s="14"/>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47"/>
      <c r="BO17" s="47"/>
      <c r="BP17" s="47"/>
      <c r="BQ17" s="47"/>
      <c r="BR17" s="47"/>
      <c r="BS17" s="49"/>
    </row>
    <row r="18" ht="16" customHeight="1">
      <c r="A18" s="130"/>
      <c r="B18" t="s" s="166">
        <v>197</v>
      </c>
      <c r="C18" t="s" s="167">
        <v>200</v>
      </c>
      <c r="D18" s="168">
        <v>34.002</v>
      </c>
      <c r="E18" s="169"/>
      <c r="F18" s="169"/>
      <c r="G18" t="s" s="167">
        <v>202</v>
      </c>
      <c r="H18" s="170">
        <v>3</v>
      </c>
      <c r="I18" t="s" s="171">
        <f>'Calculations'!G12</f>
        <v>203</v>
      </c>
      <c r="J18" t="s" s="172">
        <v>183</v>
      </c>
      <c r="K18" s="175"/>
      <c r="L18" t="s" s="173">
        <v>180</v>
      </c>
      <c r="M18" s="174">
        <v>1.04</v>
      </c>
      <c r="N18" s="174">
        <v>1.57</v>
      </c>
      <c r="O18" s="175"/>
      <c r="P18" s="175"/>
      <c r="Q18" s="175"/>
      <c r="R18" s="177"/>
      <c r="S18" s="177"/>
      <c r="T18" s="177"/>
      <c r="U18" s="177"/>
      <c r="V18" s="177"/>
      <c r="W18" s="177"/>
      <c r="X18" s="178"/>
      <c r="Y18" s="178"/>
      <c r="Z18" s="175"/>
      <c r="AA18" s="179"/>
      <c r="AB18" t="s" s="182">
        <f>'Calculations'!W12</f>
      </c>
      <c r="AC18" t="s" s="183">
        <f>'Calculations'!AG12</f>
      </c>
      <c r="AD18" s="14"/>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c r="BN18" s="47"/>
      <c r="BO18" s="47"/>
      <c r="BP18" s="47"/>
      <c r="BQ18" s="47"/>
      <c r="BR18" s="47"/>
      <c r="BS18" s="49"/>
    </row>
    <row r="19" ht="16" customHeight="1">
      <c r="A19" s="130"/>
      <c r="B19" t="s" s="166">
        <v>197</v>
      </c>
      <c r="C19" t="s" s="167">
        <v>200</v>
      </c>
      <c r="D19" s="168">
        <v>34.002</v>
      </c>
      <c r="E19" s="169"/>
      <c r="F19" s="169"/>
      <c r="G19" t="s" s="167">
        <v>204</v>
      </c>
      <c r="H19" s="170">
        <v>3</v>
      </c>
      <c r="I19" t="s" s="171">
        <f>'Calculations'!G13</f>
        <v>203</v>
      </c>
      <c r="J19" t="s" s="172">
        <v>183</v>
      </c>
      <c r="K19" s="175"/>
      <c r="L19" t="s" s="173">
        <v>180</v>
      </c>
      <c r="M19" s="174">
        <v>1.04</v>
      </c>
      <c r="N19" s="174">
        <v>1.57</v>
      </c>
      <c r="O19" s="175"/>
      <c r="P19" s="175"/>
      <c r="Q19" s="175"/>
      <c r="R19" s="177"/>
      <c r="S19" s="177"/>
      <c r="T19" s="177"/>
      <c r="U19" s="177"/>
      <c r="V19" s="177"/>
      <c r="W19" s="177"/>
      <c r="X19" s="178"/>
      <c r="Y19" s="178"/>
      <c r="Z19" s="175"/>
      <c r="AA19" s="179"/>
      <c r="AB19" t="s" s="182">
        <f>'Calculations'!W13</f>
      </c>
      <c r="AC19" t="s" s="183">
        <f>'Calculations'!AG13</f>
      </c>
      <c r="AD19" s="14"/>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9"/>
    </row>
    <row r="20" ht="16" customHeight="1">
      <c r="A20" s="130"/>
      <c r="B20" t="s" s="166">
        <v>197</v>
      </c>
      <c r="C20" t="s" s="167">
        <v>200</v>
      </c>
      <c r="D20" s="168">
        <v>34.002</v>
      </c>
      <c r="E20" s="169"/>
      <c r="F20" s="169"/>
      <c r="G20" t="s" s="167">
        <v>205</v>
      </c>
      <c r="H20" s="170">
        <v>3</v>
      </c>
      <c r="I20" t="s" s="171">
        <f>'Calculations'!G14</f>
        <v>203</v>
      </c>
      <c r="J20" t="s" s="172">
        <v>183</v>
      </c>
      <c r="K20" s="175"/>
      <c r="L20" t="s" s="173">
        <v>180</v>
      </c>
      <c r="M20" s="174">
        <v>1.04</v>
      </c>
      <c r="N20" s="174">
        <v>1.57</v>
      </c>
      <c r="O20" s="175"/>
      <c r="P20" s="175"/>
      <c r="Q20" s="175"/>
      <c r="R20" s="177"/>
      <c r="S20" s="177"/>
      <c r="T20" s="177"/>
      <c r="U20" s="177"/>
      <c r="V20" s="177"/>
      <c r="W20" s="177"/>
      <c r="X20" s="178"/>
      <c r="Y20" s="178"/>
      <c r="Z20" s="175"/>
      <c r="AA20" s="179"/>
      <c r="AB20" t="s" s="182">
        <f>'Calculations'!W14</f>
      </c>
      <c r="AC20" t="s" s="183">
        <f>'Calculations'!AG14</f>
      </c>
      <c r="AD20" s="14"/>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9"/>
    </row>
    <row r="21" ht="16" customHeight="1">
      <c r="A21" s="130"/>
      <c r="B21" t="s" s="166">
        <v>197</v>
      </c>
      <c r="C21" t="s" s="167">
        <v>200</v>
      </c>
      <c r="D21" s="168">
        <v>34.002</v>
      </c>
      <c r="E21" s="169"/>
      <c r="F21" s="169"/>
      <c r="G21" t="s" s="167">
        <v>206</v>
      </c>
      <c r="H21" s="170">
        <v>12</v>
      </c>
      <c r="I21" t="s" s="171">
        <f>'Calculations'!G15</f>
        <v>207</v>
      </c>
      <c r="J21" t="s" s="172">
        <v>183</v>
      </c>
      <c r="K21" s="175"/>
      <c r="L21" t="s" s="173">
        <v>180</v>
      </c>
      <c r="M21" s="174">
        <v>1.84</v>
      </c>
      <c r="N21" s="174">
        <v>0.27</v>
      </c>
      <c r="O21" s="175"/>
      <c r="P21" s="175"/>
      <c r="Q21" s="175"/>
      <c r="R21" s="177"/>
      <c r="S21" s="177"/>
      <c r="T21" s="177"/>
      <c r="U21" s="177"/>
      <c r="V21" s="177"/>
      <c r="W21" s="177"/>
      <c r="X21" s="178"/>
      <c r="Y21" s="178"/>
      <c r="Z21" s="175"/>
      <c r="AA21" s="179"/>
      <c r="AB21" t="s" s="182">
        <f>'Calculations'!W15</f>
      </c>
      <c r="AC21" t="s" s="183">
        <f>'Calculations'!AG15</f>
      </c>
      <c r="AD21" s="14"/>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9"/>
    </row>
    <row r="22" ht="16" customHeight="1">
      <c r="A22" s="130"/>
      <c r="B22" t="s" s="166">
        <v>208</v>
      </c>
      <c r="C22" t="s" s="167">
        <v>209</v>
      </c>
      <c r="D22" s="168">
        <v>7.7449</v>
      </c>
      <c r="E22" s="169"/>
      <c r="F22" s="169"/>
      <c r="G22" t="s" s="167">
        <v>210</v>
      </c>
      <c r="H22" s="170">
        <v>12</v>
      </c>
      <c r="I22" t="s" s="171">
        <f>'Calculations'!G16</f>
        <v>207</v>
      </c>
      <c r="J22" t="s" s="172">
        <v>183</v>
      </c>
      <c r="K22" s="175"/>
      <c r="L22" t="s" s="173">
        <v>180</v>
      </c>
      <c r="M22" s="174">
        <v>1.84</v>
      </c>
      <c r="N22" s="174">
        <v>0.27</v>
      </c>
      <c r="O22" s="175"/>
      <c r="P22" s="175"/>
      <c r="Q22" s="175"/>
      <c r="R22" s="177"/>
      <c r="S22" s="177"/>
      <c r="T22" s="177"/>
      <c r="U22" s="177"/>
      <c r="V22" s="177"/>
      <c r="W22" s="177"/>
      <c r="X22" s="178"/>
      <c r="Y22" s="178"/>
      <c r="Z22" s="175"/>
      <c r="AA22" s="179"/>
      <c r="AB22" t="s" s="182">
        <f>'Calculations'!W16</f>
      </c>
      <c r="AC22" t="s" s="183">
        <f>'Calculations'!AG16</f>
      </c>
      <c r="AD22" s="14"/>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9"/>
    </row>
    <row r="23" ht="16" customHeight="1">
      <c r="A23" s="130"/>
      <c r="B23" t="s" s="166">
        <v>211</v>
      </c>
      <c r="C23" s="169"/>
      <c r="D23" s="168">
        <v>9.9</v>
      </c>
      <c r="E23" s="169"/>
      <c r="F23" s="169"/>
      <c r="G23" t="s" s="167">
        <v>212</v>
      </c>
      <c r="H23" s="170">
        <v>12</v>
      </c>
      <c r="I23" t="s" s="171">
        <f>'Calculations'!G17</f>
        <v>207</v>
      </c>
      <c r="J23" t="s" s="172">
        <v>179</v>
      </c>
      <c r="K23" t="s" s="173">
        <v>138</v>
      </c>
      <c r="L23" t="s" s="173">
        <v>180</v>
      </c>
      <c r="M23" s="174">
        <v>0.96</v>
      </c>
      <c r="N23" s="174">
        <v>0.55</v>
      </c>
      <c r="O23" s="175"/>
      <c r="P23" s="174">
        <v>1.04</v>
      </c>
      <c r="Q23" s="174">
        <v>0.62</v>
      </c>
      <c r="R23" t="s" s="176">
        <v>138</v>
      </c>
      <c r="S23" t="s" s="176">
        <v>138</v>
      </c>
      <c r="T23" s="177"/>
      <c r="U23" s="177"/>
      <c r="V23" s="170">
        <v>28</v>
      </c>
      <c r="W23" s="170">
        <v>90</v>
      </c>
      <c r="X23" s="178"/>
      <c r="Y23" s="178"/>
      <c r="Z23" s="175"/>
      <c r="AA23" s="179"/>
      <c r="AB23" s="180">
        <f>'Calculations'!W17</f>
        <v>90</v>
      </c>
      <c r="AC23" s="181">
        <f>'Calculations'!AG17</f>
        <v>28</v>
      </c>
      <c r="AD23" s="14"/>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9"/>
    </row>
    <row r="24" ht="16" customHeight="1">
      <c r="A24" s="130"/>
      <c r="B24" t="s" s="166">
        <v>175</v>
      </c>
      <c r="C24" t="s" s="167">
        <v>176</v>
      </c>
      <c r="D24" s="168">
        <v>10.9</v>
      </c>
      <c r="E24" s="169"/>
      <c r="F24" s="169"/>
      <c r="G24" t="s" s="167">
        <v>213</v>
      </c>
      <c r="H24" s="170">
        <v>12</v>
      </c>
      <c r="I24" t="s" s="171">
        <f>'Calculations'!G18</f>
        <v>207</v>
      </c>
      <c r="J24" t="s" s="172">
        <v>179</v>
      </c>
      <c r="K24" t="s" s="173">
        <v>138</v>
      </c>
      <c r="L24" t="s" s="173">
        <v>180</v>
      </c>
      <c r="M24" s="174">
        <v>0.96</v>
      </c>
      <c r="N24" s="174">
        <v>0.55</v>
      </c>
      <c r="O24" s="175"/>
      <c r="P24" s="174">
        <v>1.04</v>
      </c>
      <c r="Q24" s="174">
        <v>0.62</v>
      </c>
      <c r="R24" t="s" s="176">
        <v>138</v>
      </c>
      <c r="S24" t="s" s="176">
        <v>138</v>
      </c>
      <c r="T24" s="177"/>
      <c r="U24" s="177"/>
      <c r="V24" s="170">
        <v>12</v>
      </c>
      <c r="W24" s="170">
        <v>90</v>
      </c>
      <c r="X24" s="178"/>
      <c r="Y24" s="178"/>
      <c r="Z24" s="175"/>
      <c r="AA24" s="179"/>
      <c r="AB24" s="180">
        <f>'Calculations'!W18</f>
        <v>90</v>
      </c>
      <c r="AC24" s="181">
        <f>'Calculations'!AG18</f>
        <v>12</v>
      </c>
      <c r="AD24" s="14"/>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9"/>
    </row>
    <row r="25" ht="16" customHeight="1">
      <c r="A25" s="130"/>
      <c r="B25" t="s" s="166">
        <v>197</v>
      </c>
      <c r="C25" t="s" s="167">
        <v>200</v>
      </c>
      <c r="D25" s="168">
        <v>34.002</v>
      </c>
      <c r="E25" s="169"/>
      <c r="F25" s="169"/>
      <c r="G25" t="s" s="167">
        <v>214</v>
      </c>
      <c r="H25" s="170">
        <v>12</v>
      </c>
      <c r="I25" t="s" s="171">
        <f>'Calculations'!G19</f>
        <v>207</v>
      </c>
      <c r="J25" t="s" s="172">
        <v>215</v>
      </c>
      <c r="K25" t="s" s="173">
        <v>138</v>
      </c>
      <c r="L25" t="s" s="173">
        <v>180</v>
      </c>
      <c r="M25" s="174">
        <v>0.76</v>
      </c>
      <c r="N25" s="174">
        <v>0.98</v>
      </c>
      <c r="O25" s="175"/>
      <c r="P25" s="174">
        <v>0.887</v>
      </c>
      <c r="Q25" s="174">
        <v>1.119</v>
      </c>
      <c r="R25" s="177"/>
      <c r="S25" s="177"/>
      <c r="T25" s="177"/>
      <c r="U25" s="177"/>
      <c r="V25" s="177"/>
      <c r="W25" s="177"/>
      <c r="X25" s="178"/>
      <c r="Y25" s="178"/>
      <c r="Z25" s="175"/>
      <c r="AA25" s="184">
        <v>90</v>
      </c>
      <c r="AB25" s="180">
        <f>'Calculations'!W19</f>
        <v>90</v>
      </c>
      <c r="AC25" t="s" s="183">
        <f>'Calculations'!AG19</f>
      </c>
      <c r="AD25" s="14"/>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9"/>
    </row>
    <row r="26" ht="16" customHeight="1">
      <c r="A26" s="130"/>
      <c r="B26" t="s" s="166">
        <v>197</v>
      </c>
      <c r="C26" t="s" s="167">
        <v>200</v>
      </c>
      <c r="D26" s="168">
        <v>34.002</v>
      </c>
      <c r="E26" s="169"/>
      <c r="F26" s="169"/>
      <c r="G26" t="s" s="167">
        <v>216</v>
      </c>
      <c r="H26" s="170">
        <v>12</v>
      </c>
      <c r="I26" t="s" s="171">
        <f>'Calculations'!G20</f>
        <v>207</v>
      </c>
      <c r="J26" t="s" s="172">
        <v>215</v>
      </c>
      <c r="K26" t="s" s="173">
        <v>138</v>
      </c>
      <c r="L26" t="s" s="173">
        <v>180</v>
      </c>
      <c r="M26" s="174">
        <v>0.76</v>
      </c>
      <c r="N26" s="174">
        <v>0.98</v>
      </c>
      <c r="O26" s="175"/>
      <c r="P26" s="174">
        <v>0.887</v>
      </c>
      <c r="Q26" s="174">
        <v>1.119</v>
      </c>
      <c r="R26" s="177"/>
      <c r="S26" s="177"/>
      <c r="T26" s="177"/>
      <c r="U26" s="177"/>
      <c r="V26" s="177"/>
      <c r="W26" s="177"/>
      <c r="X26" s="178"/>
      <c r="Y26" s="178"/>
      <c r="Z26" s="175"/>
      <c r="AA26" s="184">
        <v>90</v>
      </c>
      <c r="AB26" s="180">
        <f>'Calculations'!W20</f>
        <v>90</v>
      </c>
      <c r="AC26" t="s" s="183">
        <f>'Calculations'!AG20</f>
      </c>
      <c r="AD26" s="14"/>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9"/>
    </row>
    <row r="27" ht="16" customHeight="1">
      <c r="A27" s="130"/>
      <c r="B27" t="s" s="166">
        <v>208</v>
      </c>
      <c r="C27" t="s" s="167">
        <v>209</v>
      </c>
      <c r="D27" s="168">
        <v>7.7449</v>
      </c>
      <c r="E27" s="169"/>
      <c r="F27" s="169"/>
      <c r="G27" t="s" s="167">
        <v>217</v>
      </c>
      <c r="H27" s="170">
        <v>12</v>
      </c>
      <c r="I27" t="s" s="171">
        <f>'Calculations'!G21</f>
        <v>207</v>
      </c>
      <c r="J27" t="s" s="172">
        <v>215</v>
      </c>
      <c r="K27" t="s" s="173">
        <v>138</v>
      </c>
      <c r="L27" t="s" s="173">
        <v>180</v>
      </c>
      <c r="M27" s="174">
        <v>0.76</v>
      </c>
      <c r="N27" s="174">
        <v>0.98</v>
      </c>
      <c r="O27" s="175"/>
      <c r="P27" s="174">
        <v>0.887</v>
      </c>
      <c r="Q27" s="174">
        <v>1.119</v>
      </c>
      <c r="R27" s="177"/>
      <c r="S27" s="177"/>
      <c r="T27" s="177"/>
      <c r="U27" s="177"/>
      <c r="V27" s="177"/>
      <c r="W27" s="177"/>
      <c r="X27" s="178"/>
      <c r="Y27" s="178"/>
      <c r="Z27" s="175"/>
      <c r="AA27" s="184">
        <v>90</v>
      </c>
      <c r="AB27" s="180">
        <f>'Calculations'!W21</f>
        <v>90</v>
      </c>
      <c r="AC27" t="s" s="183">
        <f>'Calculations'!AG21</f>
      </c>
      <c r="AD27" s="14"/>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9"/>
    </row>
    <row r="28" ht="16" customHeight="1">
      <c r="A28" s="130"/>
      <c r="B28" t="s" s="166">
        <v>208</v>
      </c>
      <c r="C28" t="s" s="167">
        <v>209</v>
      </c>
      <c r="D28" s="168">
        <v>7.7449</v>
      </c>
      <c r="E28" s="169"/>
      <c r="F28" s="169"/>
      <c r="G28" t="s" s="167">
        <v>218</v>
      </c>
      <c r="H28" s="170">
        <v>12</v>
      </c>
      <c r="I28" t="s" s="171">
        <f>'Calculations'!G22</f>
        <v>207</v>
      </c>
      <c r="J28" t="s" s="172">
        <v>215</v>
      </c>
      <c r="K28" t="s" s="173">
        <v>138</v>
      </c>
      <c r="L28" t="s" s="173">
        <v>180</v>
      </c>
      <c r="M28" s="174">
        <v>0.76</v>
      </c>
      <c r="N28" s="174">
        <v>0.98</v>
      </c>
      <c r="O28" s="175"/>
      <c r="P28" s="174">
        <v>0.887</v>
      </c>
      <c r="Q28" s="174">
        <v>1.119</v>
      </c>
      <c r="R28" s="177"/>
      <c r="S28" s="177"/>
      <c r="T28" s="177"/>
      <c r="U28" s="177"/>
      <c r="V28" s="177"/>
      <c r="W28" s="177"/>
      <c r="X28" s="178"/>
      <c r="Y28" s="178"/>
      <c r="Z28" s="175"/>
      <c r="AA28" s="184">
        <v>90</v>
      </c>
      <c r="AB28" s="180">
        <f>'Calculations'!W22</f>
        <v>90</v>
      </c>
      <c r="AC28" t="s" s="183">
        <f>'Calculations'!AG22</f>
      </c>
      <c r="AD28" s="14"/>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c r="BL28" s="47"/>
      <c r="BM28" s="47"/>
      <c r="BN28" s="47"/>
      <c r="BO28" s="47"/>
      <c r="BP28" s="47"/>
      <c r="BQ28" s="47"/>
      <c r="BR28" s="47"/>
      <c r="BS28" s="49"/>
    </row>
    <row r="29" ht="16" customHeight="1">
      <c r="A29" s="130"/>
      <c r="B29" t="s" s="166">
        <v>219</v>
      </c>
      <c r="C29" s="169"/>
      <c r="D29" s="168">
        <v>6.8</v>
      </c>
      <c r="E29" s="169"/>
      <c r="F29" s="169"/>
      <c r="G29" t="s" s="167">
        <v>220</v>
      </c>
      <c r="H29" s="170">
        <v>12</v>
      </c>
      <c r="I29" t="s" s="171">
        <f>'Calculations'!G23</f>
        <v>207</v>
      </c>
      <c r="J29" t="s" s="172">
        <v>215</v>
      </c>
      <c r="K29" t="s" s="173">
        <v>138</v>
      </c>
      <c r="L29" t="s" s="173">
        <v>180</v>
      </c>
      <c r="M29" s="174">
        <v>0.76</v>
      </c>
      <c r="N29" s="174">
        <v>0.98</v>
      </c>
      <c r="O29" s="175"/>
      <c r="P29" s="174">
        <v>0.887</v>
      </c>
      <c r="Q29" s="174">
        <v>1.119</v>
      </c>
      <c r="R29" s="177"/>
      <c r="S29" s="177"/>
      <c r="T29" s="177"/>
      <c r="U29" s="177"/>
      <c r="V29" s="177"/>
      <c r="W29" s="177"/>
      <c r="X29" s="178"/>
      <c r="Y29" s="178"/>
      <c r="Z29" s="175"/>
      <c r="AA29" s="184">
        <v>90</v>
      </c>
      <c r="AB29" s="180">
        <f>'Calculations'!W23</f>
        <v>90</v>
      </c>
      <c r="AC29" t="s" s="183">
        <f>'Calculations'!AG23</f>
      </c>
      <c r="AD29" s="14"/>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7"/>
      <c r="BL29" s="47"/>
      <c r="BM29" s="47"/>
      <c r="BN29" s="47"/>
      <c r="BO29" s="47"/>
      <c r="BP29" s="47"/>
      <c r="BQ29" s="47"/>
      <c r="BR29" s="47"/>
      <c r="BS29" s="49"/>
    </row>
    <row r="30" ht="16" customHeight="1">
      <c r="A30" s="130"/>
      <c r="B30" t="s" s="166">
        <v>221</v>
      </c>
      <c r="C30" t="s" s="167">
        <v>222</v>
      </c>
      <c r="D30" s="168">
        <v>5.3</v>
      </c>
      <c r="E30" s="169"/>
      <c r="F30" s="169"/>
      <c r="G30" t="s" s="167">
        <v>223</v>
      </c>
      <c r="H30" s="170">
        <v>12</v>
      </c>
      <c r="I30" t="s" s="171">
        <f>'Calculations'!G24</f>
        <v>207</v>
      </c>
      <c r="J30" t="s" s="172">
        <v>215</v>
      </c>
      <c r="K30" t="s" s="173">
        <v>138</v>
      </c>
      <c r="L30" t="s" s="173">
        <v>180</v>
      </c>
      <c r="M30" s="174">
        <v>0.76</v>
      </c>
      <c r="N30" s="174">
        <v>0.98</v>
      </c>
      <c r="O30" s="175"/>
      <c r="P30" s="174">
        <v>0.887</v>
      </c>
      <c r="Q30" s="174">
        <v>1.119</v>
      </c>
      <c r="R30" s="177"/>
      <c r="S30" s="177"/>
      <c r="T30" s="177"/>
      <c r="U30" s="177"/>
      <c r="V30" s="177"/>
      <c r="W30" s="177"/>
      <c r="X30" s="178"/>
      <c r="Y30" s="178"/>
      <c r="Z30" s="175"/>
      <c r="AA30" s="184">
        <v>90</v>
      </c>
      <c r="AB30" s="180">
        <f>'Calculations'!W24</f>
        <v>90</v>
      </c>
      <c r="AC30" t="s" s="183">
        <f>'Calculations'!AG24</f>
      </c>
      <c r="AD30" s="14"/>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9"/>
    </row>
    <row r="31" ht="16" customHeight="1">
      <c r="A31" s="130"/>
      <c r="B31" s="185"/>
      <c r="C31" s="169"/>
      <c r="D31" s="169"/>
      <c r="E31" s="169"/>
      <c r="F31" s="169"/>
      <c r="G31" s="169"/>
      <c r="H31" s="177"/>
      <c r="I31" t="s" s="171">
        <f>'Calculations'!G25</f>
      </c>
      <c r="J31" s="178"/>
      <c r="K31" s="175"/>
      <c r="L31" s="175"/>
      <c r="M31" s="175"/>
      <c r="N31" s="175"/>
      <c r="O31" s="175"/>
      <c r="P31" s="175"/>
      <c r="Q31" s="175"/>
      <c r="R31" s="177"/>
      <c r="S31" s="177"/>
      <c r="T31" s="177"/>
      <c r="U31" s="177"/>
      <c r="V31" s="177"/>
      <c r="W31" s="177"/>
      <c r="X31" s="178"/>
      <c r="Y31" s="178"/>
      <c r="Z31" s="175"/>
      <c r="AA31" s="179"/>
      <c r="AB31" t="s" s="182">
        <f>'Calculations'!W25</f>
      </c>
      <c r="AC31" t="s" s="183">
        <f>'Calculations'!AG25</f>
      </c>
      <c r="AD31" s="14"/>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9"/>
    </row>
    <row r="32" ht="16" customHeight="1">
      <c r="A32" s="130"/>
      <c r="B32" s="185"/>
      <c r="C32" s="169"/>
      <c r="D32" s="169"/>
      <c r="E32" s="169"/>
      <c r="F32" s="169"/>
      <c r="G32" s="169"/>
      <c r="H32" s="177"/>
      <c r="I32" t="s" s="171">
        <f>'Calculations'!G26</f>
      </c>
      <c r="J32" s="178"/>
      <c r="K32" s="175"/>
      <c r="L32" s="175"/>
      <c r="M32" s="175"/>
      <c r="N32" s="175"/>
      <c r="O32" s="175"/>
      <c r="P32" s="175"/>
      <c r="Q32" s="175"/>
      <c r="R32" s="177"/>
      <c r="S32" s="177"/>
      <c r="T32" s="177"/>
      <c r="U32" s="177"/>
      <c r="V32" s="177"/>
      <c r="W32" s="177"/>
      <c r="X32" s="178"/>
      <c r="Y32" s="178"/>
      <c r="Z32" s="175"/>
      <c r="AA32" s="179"/>
      <c r="AB32" t="s" s="182">
        <f>'Calculations'!W26</f>
      </c>
      <c r="AC32" t="s" s="183">
        <f>'Calculations'!AG26</f>
      </c>
      <c r="AD32" s="14"/>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9"/>
    </row>
    <row r="33" ht="16" customHeight="1">
      <c r="A33" s="130"/>
      <c r="B33" s="185"/>
      <c r="C33" s="169"/>
      <c r="D33" s="169"/>
      <c r="E33" s="169"/>
      <c r="F33" s="169"/>
      <c r="G33" s="169"/>
      <c r="H33" s="177"/>
      <c r="I33" t="s" s="171">
        <f>'Calculations'!G27</f>
      </c>
      <c r="J33" s="178"/>
      <c r="K33" s="175"/>
      <c r="L33" s="175"/>
      <c r="M33" s="175"/>
      <c r="N33" s="175"/>
      <c r="O33" s="175"/>
      <c r="P33" s="175"/>
      <c r="Q33" s="175"/>
      <c r="R33" s="177"/>
      <c r="S33" s="177"/>
      <c r="T33" s="177"/>
      <c r="U33" s="177"/>
      <c r="V33" s="177"/>
      <c r="W33" s="177"/>
      <c r="X33" s="178"/>
      <c r="Y33" s="178"/>
      <c r="Z33" s="175"/>
      <c r="AA33" s="179"/>
      <c r="AB33" t="s" s="182">
        <f>'Calculations'!W27</f>
      </c>
      <c r="AC33" t="s" s="183">
        <f>'Calculations'!AG27</f>
      </c>
      <c r="AD33" s="14"/>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9"/>
    </row>
    <row r="34" ht="16" customHeight="1">
      <c r="A34" s="130"/>
      <c r="B34" s="185"/>
      <c r="C34" s="169"/>
      <c r="D34" s="169"/>
      <c r="E34" s="169"/>
      <c r="F34" s="169"/>
      <c r="G34" s="169"/>
      <c r="H34" s="177"/>
      <c r="I34" t="s" s="171">
        <f>'Calculations'!G28</f>
      </c>
      <c r="J34" s="178"/>
      <c r="K34" s="175"/>
      <c r="L34" s="175"/>
      <c r="M34" s="175"/>
      <c r="N34" s="175"/>
      <c r="O34" s="175"/>
      <c r="P34" s="175"/>
      <c r="Q34" s="175"/>
      <c r="R34" s="177"/>
      <c r="S34" s="177"/>
      <c r="T34" s="177"/>
      <c r="U34" s="177"/>
      <c r="V34" s="177"/>
      <c r="W34" s="177"/>
      <c r="X34" s="178"/>
      <c r="Y34" s="178"/>
      <c r="Z34" s="175"/>
      <c r="AA34" s="179"/>
      <c r="AB34" t="s" s="182">
        <f>'Calculations'!W28</f>
      </c>
      <c r="AC34" t="s" s="183">
        <f>'Calculations'!AG28</f>
      </c>
      <c r="AD34" s="14"/>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9"/>
    </row>
    <row r="35" ht="16" customHeight="1">
      <c r="A35" s="130"/>
      <c r="B35" s="185"/>
      <c r="C35" s="169"/>
      <c r="D35" s="169"/>
      <c r="E35" s="169"/>
      <c r="F35" s="169"/>
      <c r="G35" s="169"/>
      <c r="H35" s="177"/>
      <c r="I35" t="s" s="171">
        <f>'Calculations'!G29</f>
      </c>
      <c r="J35" s="178"/>
      <c r="K35" s="175"/>
      <c r="L35" s="175"/>
      <c r="M35" s="175"/>
      <c r="N35" s="175"/>
      <c r="O35" s="175"/>
      <c r="P35" s="175"/>
      <c r="Q35" s="175"/>
      <c r="R35" s="177"/>
      <c r="S35" s="177"/>
      <c r="T35" s="177"/>
      <c r="U35" s="177"/>
      <c r="V35" s="177"/>
      <c r="W35" s="177"/>
      <c r="X35" s="178"/>
      <c r="Y35" s="178"/>
      <c r="Z35" s="175"/>
      <c r="AA35" s="179"/>
      <c r="AB35" t="s" s="182">
        <f>'Calculations'!W29</f>
      </c>
      <c r="AC35" t="s" s="183">
        <f>'Calculations'!AG29</f>
      </c>
      <c r="AD35" s="14"/>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c r="BJ35" s="47"/>
      <c r="BK35" s="47"/>
      <c r="BL35" s="47"/>
      <c r="BM35" s="47"/>
      <c r="BN35" s="47"/>
      <c r="BO35" s="47"/>
      <c r="BP35" s="47"/>
      <c r="BQ35" s="47"/>
      <c r="BR35" s="47"/>
      <c r="BS35" s="49"/>
    </row>
    <row r="36" ht="16" customHeight="1">
      <c r="A36" s="130"/>
      <c r="B36" s="185"/>
      <c r="C36" s="169"/>
      <c r="D36" s="169"/>
      <c r="E36" s="169"/>
      <c r="F36" s="169"/>
      <c r="G36" s="169"/>
      <c r="H36" s="177"/>
      <c r="I36" t="s" s="171">
        <f>'Calculations'!G30</f>
      </c>
      <c r="J36" s="178"/>
      <c r="K36" s="175"/>
      <c r="L36" s="175"/>
      <c r="M36" s="175"/>
      <c r="N36" s="175"/>
      <c r="O36" s="175"/>
      <c r="P36" s="175"/>
      <c r="Q36" s="175"/>
      <c r="R36" s="177"/>
      <c r="S36" s="177"/>
      <c r="T36" s="177"/>
      <c r="U36" s="177"/>
      <c r="V36" s="177"/>
      <c r="W36" s="177"/>
      <c r="X36" s="178"/>
      <c r="Y36" s="178"/>
      <c r="Z36" s="175"/>
      <c r="AA36" s="179"/>
      <c r="AB36" t="s" s="182">
        <f>'Calculations'!W30</f>
      </c>
      <c r="AC36" t="s" s="183">
        <f>'Calculations'!AG30</f>
      </c>
      <c r="AD36" s="14"/>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7"/>
      <c r="BR36" s="47"/>
      <c r="BS36" s="49"/>
    </row>
    <row r="37" ht="16" customHeight="1">
      <c r="A37" s="130"/>
      <c r="B37" s="185"/>
      <c r="C37" s="169"/>
      <c r="D37" s="169"/>
      <c r="E37" s="169"/>
      <c r="F37" s="169"/>
      <c r="G37" s="169"/>
      <c r="H37" s="177"/>
      <c r="I37" t="s" s="171">
        <f>'Calculations'!G31</f>
      </c>
      <c r="J37" s="178"/>
      <c r="K37" s="175"/>
      <c r="L37" s="175"/>
      <c r="M37" s="175"/>
      <c r="N37" s="175"/>
      <c r="O37" s="175"/>
      <c r="P37" s="175"/>
      <c r="Q37" s="175"/>
      <c r="R37" s="177"/>
      <c r="S37" s="177"/>
      <c r="T37" s="177"/>
      <c r="U37" s="177"/>
      <c r="V37" s="177"/>
      <c r="W37" s="177"/>
      <c r="X37" s="178"/>
      <c r="Y37" s="178"/>
      <c r="Z37" s="175"/>
      <c r="AA37" s="179"/>
      <c r="AB37" t="s" s="182">
        <f>'Calculations'!W31</f>
      </c>
      <c r="AC37" t="s" s="183">
        <f>'Calculations'!AG31</f>
      </c>
      <c r="AD37" s="14"/>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9"/>
    </row>
    <row r="38" ht="16" customHeight="1">
      <c r="A38" s="130"/>
      <c r="B38" s="185"/>
      <c r="C38" s="169"/>
      <c r="D38" s="169"/>
      <c r="E38" s="169"/>
      <c r="F38" s="169"/>
      <c r="G38" s="169"/>
      <c r="H38" s="177"/>
      <c r="I38" t="s" s="171">
        <f>'Calculations'!G32</f>
      </c>
      <c r="J38" s="178"/>
      <c r="K38" s="175"/>
      <c r="L38" s="175"/>
      <c r="M38" s="175"/>
      <c r="N38" s="175"/>
      <c r="O38" s="175"/>
      <c r="P38" s="175"/>
      <c r="Q38" s="175"/>
      <c r="R38" s="177"/>
      <c r="S38" s="177"/>
      <c r="T38" s="177"/>
      <c r="U38" s="177"/>
      <c r="V38" s="177"/>
      <c r="W38" s="177"/>
      <c r="X38" s="178"/>
      <c r="Y38" s="178"/>
      <c r="Z38" s="175"/>
      <c r="AA38" s="179"/>
      <c r="AB38" t="s" s="182">
        <f>'Calculations'!W32</f>
      </c>
      <c r="AC38" t="s" s="183">
        <f>'Calculations'!AG32</f>
      </c>
      <c r="AD38" s="14"/>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7"/>
      <c r="BR38" s="47"/>
      <c r="BS38" s="49"/>
    </row>
    <row r="39" ht="16" customHeight="1">
      <c r="A39" s="130"/>
      <c r="B39" s="185"/>
      <c r="C39" s="169"/>
      <c r="D39" s="169"/>
      <c r="E39" s="169"/>
      <c r="F39" s="169"/>
      <c r="G39" s="169"/>
      <c r="H39" s="177"/>
      <c r="I39" t="s" s="171">
        <f>'Calculations'!G33</f>
      </c>
      <c r="J39" s="178"/>
      <c r="K39" s="175"/>
      <c r="L39" s="175"/>
      <c r="M39" s="175"/>
      <c r="N39" s="175"/>
      <c r="O39" s="175"/>
      <c r="P39" s="175"/>
      <c r="Q39" s="175"/>
      <c r="R39" s="177"/>
      <c r="S39" s="177"/>
      <c r="T39" s="177"/>
      <c r="U39" s="177"/>
      <c r="V39" s="177"/>
      <c r="W39" s="177"/>
      <c r="X39" s="178"/>
      <c r="Y39" s="178"/>
      <c r="Z39" s="175"/>
      <c r="AA39" s="179"/>
      <c r="AB39" t="s" s="182">
        <f>'Calculations'!W33</f>
      </c>
      <c r="AC39" t="s" s="183">
        <f>'Calculations'!AG33</f>
      </c>
      <c r="AD39" s="14"/>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9"/>
    </row>
    <row r="40" ht="16" customHeight="1">
      <c r="A40" s="130"/>
      <c r="B40" s="185"/>
      <c r="C40" s="169"/>
      <c r="D40" s="169"/>
      <c r="E40" s="169"/>
      <c r="F40" s="169"/>
      <c r="G40" s="169"/>
      <c r="H40" s="177"/>
      <c r="I40" t="s" s="171">
        <f>'Calculations'!G34</f>
      </c>
      <c r="J40" s="178"/>
      <c r="K40" s="175"/>
      <c r="L40" s="175"/>
      <c r="M40" s="175"/>
      <c r="N40" s="175"/>
      <c r="O40" s="175"/>
      <c r="P40" s="175"/>
      <c r="Q40" s="175"/>
      <c r="R40" s="177"/>
      <c r="S40" s="177"/>
      <c r="T40" s="177"/>
      <c r="U40" s="177"/>
      <c r="V40" s="177"/>
      <c r="W40" s="177"/>
      <c r="X40" s="178"/>
      <c r="Y40" s="178"/>
      <c r="Z40" s="175"/>
      <c r="AA40" s="179"/>
      <c r="AB40" t="s" s="182">
        <f>'Calculations'!W34</f>
      </c>
      <c r="AC40" t="s" s="183">
        <f>'Calculations'!AG34</f>
      </c>
      <c r="AD40" s="14"/>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7"/>
      <c r="BR40" s="47"/>
      <c r="BS40" s="49"/>
    </row>
    <row r="41" ht="16" customHeight="1">
      <c r="A41" s="130"/>
      <c r="B41" s="185"/>
      <c r="C41" s="169"/>
      <c r="D41" s="169"/>
      <c r="E41" s="169"/>
      <c r="F41" s="169"/>
      <c r="G41" s="169"/>
      <c r="H41" s="177"/>
      <c r="I41" t="s" s="171">
        <f>'Calculations'!G35</f>
      </c>
      <c r="J41" s="178"/>
      <c r="K41" s="175"/>
      <c r="L41" s="175"/>
      <c r="M41" s="175"/>
      <c r="N41" s="175"/>
      <c r="O41" s="175"/>
      <c r="P41" s="175"/>
      <c r="Q41" s="175"/>
      <c r="R41" s="177"/>
      <c r="S41" s="177"/>
      <c r="T41" s="177"/>
      <c r="U41" s="177"/>
      <c r="V41" s="177"/>
      <c r="W41" s="177"/>
      <c r="X41" s="178"/>
      <c r="Y41" s="178"/>
      <c r="Z41" s="175"/>
      <c r="AA41" s="179"/>
      <c r="AB41" t="s" s="182">
        <f>'Calculations'!W35</f>
      </c>
      <c r="AC41" t="s" s="183">
        <f>'Calculations'!AG35</f>
      </c>
      <c r="AD41" s="14"/>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7"/>
      <c r="BR41" s="47"/>
      <c r="BS41" s="49"/>
    </row>
    <row r="42" ht="16" customHeight="1">
      <c r="A42" s="130"/>
      <c r="B42" s="185"/>
      <c r="C42" s="169"/>
      <c r="D42" s="169"/>
      <c r="E42" s="169"/>
      <c r="F42" s="169"/>
      <c r="G42" s="169"/>
      <c r="H42" s="177"/>
      <c r="I42" t="s" s="171">
        <f>'Calculations'!G36</f>
      </c>
      <c r="J42" s="178"/>
      <c r="K42" s="175"/>
      <c r="L42" s="175"/>
      <c r="M42" s="175"/>
      <c r="N42" s="175"/>
      <c r="O42" s="175"/>
      <c r="P42" s="175"/>
      <c r="Q42" s="175"/>
      <c r="R42" s="177"/>
      <c r="S42" s="177"/>
      <c r="T42" s="177"/>
      <c r="U42" s="177"/>
      <c r="V42" s="177"/>
      <c r="W42" s="177"/>
      <c r="X42" s="178"/>
      <c r="Y42" s="178"/>
      <c r="Z42" s="175"/>
      <c r="AA42" s="179"/>
      <c r="AB42" t="s" s="182">
        <f>'Calculations'!W36</f>
      </c>
      <c r="AC42" t="s" s="183">
        <f>'Calculations'!AG36</f>
      </c>
      <c r="AD42" s="14"/>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7"/>
      <c r="BR42" s="47"/>
      <c r="BS42" s="49"/>
    </row>
    <row r="43" ht="16" customHeight="1">
      <c r="A43" s="130"/>
      <c r="B43" s="185"/>
      <c r="C43" s="169"/>
      <c r="D43" s="169"/>
      <c r="E43" s="169"/>
      <c r="F43" s="169"/>
      <c r="G43" s="169"/>
      <c r="H43" s="177"/>
      <c r="I43" t="s" s="171">
        <f>'Calculations'!G37</f>
      </c>
      <c r="J43" s="178"/>
      <c r="K43" s="175"/>
      <c r="L43" s="175"/>
      <c r="M43" s="175"/>
      <c r="N43" s="175"/>
      <c r="O43" s="175"/>
      <c r="P43" s="175"/>
      <c r="Q43" s="175"/>
      <c r="R43" s="177"/>
      <c r="S43" s="177"/>
      <c r="T43" s="177"/>
      <c r="U43" s="177"/>
      <c r="V43" s="177"/>
      <c r="W43" s="177"/>
      <c r="X43" s="178"/>
      <c r="Y43" s="178"/>
      <c r="Z43" s="175"/>
      <c r="AA43" s="179"/>
      <c r="AB43" t="s" s="182">
        <f>'Calculations'!W37</f>
      </c>
      <c r="AC43" t="s" s="183">
        <f>'Calculations'!AG37</f>
      </c>
      <c r="AD43" s="14"/>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9"/>
    </row>
    <row r="44" ht="16" customHeight="1">
      <c r="A44" s="130"/>
      <c r="B44" s="185"/>
      <c r="C44" s="169"/>
      <c r="D44" s="169"/>
      <c r="E44" s="169"/>
      <c r="F44" s="169"/>
      <c r="G44" s="169"/>
      <c r="H44" s="177"/>
      <c r="I44" t="s" s="171">
        <f>'Calculations'!G38</f>
      </c>
      <c r="J44" s="178"/>
      <c r="K44" s="175"/>
      <c r="L44" s="175"/>
      <c r="M44" s="175"/>
      <c r="N44" s="175"/>
      <c r="O44" s="175"/>
      <c r="P44" s="175"/>
      <c r="Q44" s="175"/>
      <c r="R44" s="177"/>
      <c r="S44" s="177"/>
      <c r="T44" s="177"/>
      <c r="U44" s="177"/>
      <c r="V44" s="177"/>
      <c r="W44" s="177"/>
      <c r="X44" s="178"/>
      <c r="Y44" s="178"/>
      <c r="Z44" s="175"/>
      <c r="AA44" s="179"/>
      <c r="AB44" t="s" s="182">
        <f>'Calculations'!W38</f>
      </c>
      <c r="AC44" t="s" s="183">
        <f>'Calculations'!AG38</f>
      </c>
      <c r="AD44" s="14"/>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7"/>
      <c r="BR44" s="47"/>
      <c r="BS44" s="49"/>
    </row>
    <row r="45" ht="16" customHeight="1">
      <c r="A45" s="130"/>
      <c r="B45" s="185"/>
      <c r="C45" s="169"/>
      <c r="D45" s="169"/>
      <c r="E45" s="169"/>
      <c r="F45" s="169"/>
      <c r="G45" s="169"/>
      <c r="H45" s="177"/>
      <c r="I45" t="s" s="171">
        <f>'Calculations'!G39</f>
      </c>
      <c r="J45" s="178"/>
      <c r="K45" s="175"/>
      <c r="L45" s="175"/>
      <c r="M45" s="175"/>
      <c r="N45" s="175"/>
      <c r="O45" s="175"/>
      <c r="P45" s="175"/>
      <c r="Q45" s="175"/>
      <c r="R45" s="177"/>
      <c r="S45" s="177"/>
      <c r="T45" s="177"/>
      <c r="U45" s="177"/>
      <c r="V45" s="177"/>
      <c r="W45" s="177"/>
      <c r="X45" s="178"/>
      <c r="Y45" s="178"/>
      <c r="Z45" s="175"/>
      <c r="AA45" s="179"/>
      <c r="AB45" t="s" s="182">
        <f>'Calculations'!W39</f>
      </c>
      <c r="AC45" t="s" s="183">
        <f>'Calculations'!AG39</f>
      </c>
      <c r="AD45" s="14"/>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9"/>
    </row>
    <row r="46" ht="16" customHeight="1">
      <c r="A46" s="130"/>
      <c r="B46" s="185"/>
      <c r="C46" s="169"/>
      <c r="D46" s="169"/>
      <c r="E46" s="169"/>
      <c r="F46" s="169"/>
      <c r="G46" s="169"/>
      <c r="H46" s="177"/>
      <c r="I46" t="s" s="171">
        <f>'Calculations'!G40</f>
      </c>
      <c r="J46" s="178"/>
      <c r="K46" s="175"/>
      <c r="L46" s="175"/>
      <c r="M46" s="175"/>
      <c r="N46" s="175"/>
      <c r="O46" s="175"/>
      <c r="P46" s="175"/>
      <c r="Q46" s="175"/>
      <c r="R46" s="177"/>
      <c r="S46" s="177"/>
      <c r="T46" s="177"/>
      <c r="U46" s="177"/>
      <c r="V46" s="177"/>
      <c r="W46" s="177"/>
      <c r="X46" s="178"/>
      <c r="Y46" s="178"/>
      <c r="Z46" s="175"/>
      <c r="AA46" s="179"/>
      <c r="AB46" t="s" s="182">
        <f>'Calculations'!W40</f>
      </c>
      <c r="AC46" t="s" s="183">
        <f>'Calculations'!AG40</f>
      </c>
      <c r="AD46" s="14"/>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7"/>
      <c r="BR46" s="47"/>
      <c r="BS46" s="49"/>
    </row>
    <row r="47" ht="16" customHeight="1">
      <c r="A47" s="130"/>
      <c r="B47" s="185"/>
      <c r="C47" s="169"/>
      <c r="D47" s="169"/>
      <c r="E47" s="169"/>
      <c r="F47" s="169"/>
      <c r="G47" s="169"/>
      <c r="H47" s="177"/>
      <c r="I47" t="s" s="171">
        <f>'Calculations'!G41</f>
      </c>
      <c r="J47" s="178"/>
      <c r="K47" s="175"/>
      <c r="L47" s="175"/>
      <c r="M47" s="175"/>
      <c r="N47" s="175"/>
      <c r="O47" s="175"/>
      <c r="P47" s="175"/>
      <c r="Q47" s="175"/>
      <c r="R47" s="177"/>
      <c r="S47" s="177"/>
      <c r="T47" s="177"/>
      <c r="U47" s="177"/>
      <c r="V47" s="177"/>
      <c r="W47" s="177"/>
      <c r="X47" s="178"/>
      <c r="Y47" s="178"/>
      <c r="Z47" s="175"/>
      <c r="AA47" s="179"/>
      <c r="AB47" t="s" s="182">
        <f>'Calculations'!W41</f>
      </c>
      <c r="AC47" t="s" s="183">
        <f>'Calculations'!AG41</f>
      </c>
      <c r="AD47" s="14"/>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9"/>
    </row>
    <row r="48" ht="16" customHeight="1">
      <c r="A48" s="130"/>
      <c r="B48" s="185"/>
      <c r="C48" s="169"/>
      <c r="D48" s="169"/>
      <c r="E48" s="169"/>
      <c r="F48" s="169"/>
      <c r="G48" s="169"/>
      <c r="H48" s="177"/>
      <c r="I48" t="s" s="171">
        <f>'Calculations'!G42</f>
      </c>
      <c r="J48" s="178"/>
      <c r="K48" s="175"/>
      <c r="L48" s="175"/>
      <c r="M48" s="175"/>
      <c r="N48" s="175"/>
      <c r="O48" s="175"/>
      <c r="P48" s="175"/>
      <c r="Q48" s="175"/>
      <c r="R48" s="177"/>
      <c r="S48" s="177"/>
      <c r="T48" s="177"/>
      <c r="U48" s="177"/>
      <c r="V48" s="177"/>
      <c r="W48" s="177"/>
      <c r="X48" s="178"/>
      <c r="Y48" s="178"/>
      <c r="Z48" s="175"/>
      <c r="AA48" s="179"/>
      <c r="AB48" t="s" s="182">
        <f>'Calculations'!W42</f>
      </c>
      <c r="AC48" t="s" s="183">
        <f>'Calculations'!AG42</f>
      </c>
      <c r="AD48" s="14"/>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9"/>
    </row>
    <row r="49" ht="16" customHeight="1">
      <c r="A49" s="130"/>
      <c r="B49" s="185"/>
      <c r="C49" s="169"/>
      <c r="D49" s="169"/>
      <c r="E49" s="169"/>
      <c r="F49" s="169"/>
      <c r="G49" s="169"/>
      <c r="H49" s="177"/>
      <c r="I49" t="s" s="171">
        <f>'Calculations'!G43</f>
      </c>
      <c r="J49" s="178"/>
      <c r="K49" s="175"/>
      <c r="L49" s="175"/>
      <c r="M49" s="175"/>
      <c r="N49" s="175"/>
      <c r="O49" s="175"/>
      <c r="P49" s="175"/>
      <c r="Q49" s="175"/>
      <c r="R49" s="177"/>
      <c r="S49" s="177"/>
      <c r="T49" s="177"/>
      <c r="U49" s="177"/>
      <c r="V49" s="177"/>
      <c r="W49" s="177"/>
      <c r="X49" s="178"/>
      <c r="Y49" s="178"/>
      <c r="Z49" s="175"/>
      <c r="AA49" s="179"/>
      <c r="AB49" t="s" s="182">
        <f>'Calculations'!W43</f>
      </c>
      <c r="AC49" t="s" s="183">
        <f>'Calculations'!AG43</f>
      </c>
      <c r="AD49" s="14"/>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9"/>
    </row>
    <row r="50" ht="16" customHeight="1">
      <c r="A50" s="130"/>
      <c r="B50" s="185"/>
      <c r="C50" s="169"/>
      <c r="D50" s="169"/>
      <c r="E50" s="169"/>
      <c r="F50" s="169"/>
      <c r="G50" s="169"/>
      <c r="H50" s="177"/>
      <c r="I50" t="s" s="171">
        <f>'Calculations'!G44</f>
      </c>
      <c r="J50" s="178"/>
      <c r="K50" s="175"/>
      <c r="L50" s="175"/>
      <c r="M50" s="175"/>
      <c r="N50" s="175"/>
      <c r="O50" s="175"/>
      <c r="P50" s="175"/>
      <c r="Q50" s="175"/>
      <c r="R50" s="177"/>
      <c r="S50" s="177"/>
      <c r="T50" s="177"/>
      <c r="U50" s="177"/>
      <c r="V50" s="177"/>
      <c r="W50" s="177"/>
      <c r="X50" s="178"/>
      <c r="Y50" s="178"/>
      <c r="Z50" s="175"/>
      <c r="AA50" s="179"/>
      <c r="AB50" t="s" s="182">
        <f>'Calculations'!W44</f>
      </c>
      <c r="AC50" t="s" s="183">
        <f>'Calculations'!AG44</f>
      </c>
      <c r="AD50" s="14"/>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7"/>
      <c r="BR50" s="47"/>
      <c r="BS50" s="49"/>
    </row>
    <row r="51" ht="16" customHeight="1">
      <c r="A51" s="130"/>
      <c r="B51" s="185"/>
      <c r="C51" s="169"/>
      <c r="D51" s="169"/>
      <c r="E51" s="169"/>
      <c r="F51" s="169"/>
      <c r="G51" s="169"/>
      <c r="H51" s="177"/>
      <c r="I51" t="s" s="171">
        <f>'Calculations'!G45</f>
      </c>
      <c r="J51" s="178"/>
      <c r="K51" s="175"/>
      <c r="L51" s="175"/>
      <c r="M51" s="175"/>
      <c r="N51" s="175"/>
      <c r="O51" s="175"/>
      <c r="P51" s="175"/>
      <c r="Q51" s="175"/>
      <c r="R51" s="177"/>
      <c r="S51" s="177"/>
      <c r="T51" s="177"/>
      <c r="U51" s="177"/>
      <c r="V51" s="177"/>
      <c r="W51" s="177"/>
      <c r="X51" s="178"/>
      <c r="Y51" s="178"/>
      <c r="Z51" s="175"/>
      <c r="AA51" s="179"/>
      <c r="AB51" t="s" s="182">
        <f>'Calculations'!W45</f>
      </c>
      <c r="AC51" t="s" s="183">
        <f>'Calculations'!AG45</f>
      </c>
      <c r="AD51" s="14"/>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9"/>
    </row>
    <row r="52" ht="16" customHeight="1">
      <c r="A52" s="130"/>
      <c r="B52" s="185"/>
      <c r="C52" s="169"/>
      <c r="D52" s="169"/>
      <c r="E52" s="169"/>
      <c r="F52" s="169"/>
      <c r="G52" s="169"/>
      <c r="H52" s="177"/>
      <c r="I52" t="s" s="171">
        <f>'Calculations'!G46</f>
      </c>
      <c r="J52" s="178"/>
      <c r="K52" s="175"/>
      <c r="L52" s="175"/>
      <c r="M52" s="175"/>
      <c r="N52" s="175"/>
      <c r="O52" s="175"/>
      <c r="P52" s="175"/>
      <c r="Q52" s="175"/>
      <c r="R52" s="177"/>
      <c r="S52" s="177"/>
      <c r="T52" s="177"/>
      <c r="U52" s="177"/>
      <c r="V52" s="177"/>
      <c r="W52" s="177"/>
      <c r="X52" s="178"/>
      <c r="Y52" s="178"/>
      <c r="Z52" s="175"/>
      <c r="AA52" s="179"/>
      <c r="AB52" t="s" s="182">
        <f>'Calculations'!W46</f>
      </c>
      <c r="AC52" t="s" s="183">
        <f>'Calculations'!AG46</f>
      </c>
      <c r="AD52" s="14"/>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7"/>
      <c r="BR52" s="47"/>
      <c r="BS52" s="49"/>
    </row>
    <row r="53" ht="16" customHeight="1">
      <c r="A53" s="130"/>
      <c r="B53" s="185"/>
      <c r="C53" s="169"/>
      <c r="D53" s="169"/>
      <c r="E53" s="169"/>
      <c r="F53" s="169"/>
      <c r="G53" s="169"/>
      <c r="H53" s="177"/>
      <c r="I53" t="s" s="171">
        <f>'Calculations'!G47</f>
      </c>
      <c r="J53" s="178"/>
      <c r="K53" s="175"/>
      <c r="L53" s="175"/>
      <c r="M53" s="175"/>
      <c r="N53" s="175"/>
      <c r="O53" s="175"/>
      <c r="P53" s="175"/>
      <c r="Q53" s="175"/>
      <c r="R53" s="177"/>
      <c r="S53" s="177"/>
      <c r="T53" s="177"/>
      <c r="U53" s="177"/>
      <c r="V53" s="177"/>
      <c r="W53" s="177"/>
      <c r="X53" s="178"/>
      <c r="Y53" s="178"/>
      <c r="Z53" s="175"/>
      <c r="AA53" s="179"/>
      <c r="AB53" t="s" s="182">
        <f>'Calculations'!W47</f>
      </c>
      <c r="AC53" t="s" s="183">
        <f>'Calculations'!AG47</f>
      </c>
      <c r="AD53" s="14"/>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9"/>
    </row>
    <row r="54" ht="16" customHeight="1">
      <c r="A54" s="130"/>
      <c r="B54" s="185"/>
      <c r="C54" s="169"/>
      <c r="D54" s="169"/>
      <c r="E54" s="169"/>
      <c r="F54" s="169"/>
      <c r="G54" s="169"/>
      <c r="H54" s="177"/>
      <c r="I54" t="s" s="171">
        <f>'Calculations'!G48</f>
      </c>
      <c r="J54" s="178"/>
      <c r="K54" s="175"/>
      <c r="L54" s="175"/>
      <c r="M54" s="175"/>
      <c r="N54" s="175"/>
      <c r="O54" s="175"/>
      <c r="P54" s="175"/>
      <c r="Q54" s="175"/>
      <c r="R54" s="177"/>
      <c r="S54" s="177"/>
      <c r="T54" s="177"/>
      <c r="U54" s="177"/>
      <c r="V54" s="177"/>
      <c r="W54" s="177"/>
      <c r="X54" s="178"/>
      <c r="Y54" s="178"/>
      <c r="Z54" s="175"/>
      <c r="AA54" s="179"/>
      <c r="AB54" t="s" s="182">
        <f>'Calculations'!W48</f>
      </c>
      <c r="AC54" t="s" s="183">
        <f>'Calculations'!AG48</f>
      </c>
      <c r="AD54" s="14"/>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9"/>
    </row>
    <row r="55" ht="16" customHeight="1">
      <c r="A55" s="130"/>
      <c r="B55" s="185"/>
      <c r="C55" s="169"/>
      <c r="D55" s="169"/>
      <c r="E55" s="169"/>
      <c r="F55" s="169"/>
      <c r="G55" s="169"/>
      <c r="H55" s="177"/>
      <c r="I55" t="s" s="171">
        <f>'Calculations'!G49</f>
      </c>
      <c r="J55" s="178"/>
      <c r="K55" s="175"/>
      <c r="L55" s="175"/>
      <c r="M55" s="175"/>
      <c r="N55" s="175"/>
      <c r="O55" s="175"/>
      <c r="P55" s="175"/>
      <c r="Q55" s="175"/>
      <c r="R55" s="177"/>
      <c r="S55" s="177"/>
      <c r="T55" s="177"/>
      <c r="U55" s="177"/>
      <c r="V55" s="177"/>
      <c r="W55" s="177"/>
      <c r="X55" s="178"/>
      <c r="Y55" s="178"/>
      <c r="Z55" s="175"/>
      <c r="AA55" s="179"/>
      <c r="AB55" t="s" s="182">
        <f>'Calculations'!W49</f>
      </c>
      <c r="AC55" t="s" s="183">
        <f>'Calculations'!AG49</f>
      </c>
      <c r="AD55" s="14"/>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N55" s="47"/>
      <c r="BO55" s="47"/>
      <c r="BP55" s="47"/>
      <c r="BQ55" s="47"/>
      <c r="BR55" s="47"/>
      <c r="BS55" s="49"/>
    </row>
    <row r="56" ht="16" customHeight="1">
      <c r="A56" s="130"/>
      <c r="B56" s="185"/>
      <c r="C56" s="169"/>
      <c r="D56" s="169"/>
      <c r="E56" s="169"/>
      <c r="F56" s="169"/>
      <c r="G56" s="169"/>
      <c r="H56" s="177"/>
      <c r="I56" t="s" s="171">
        <f>'Calculations'!G50</f>
      </c>
      <c r="J56" s="178"/>
      <c r="K56" s="175"/>
      <c r="L56" s="175"/>
      <c r="M56" s="175"/>
      <c r="N56" s="175"/>
      <c r="O56" s="175"/>
      <c r="P56" s="175"/>
      <c r="Q56" s="175"/>
      <c r="R56" s="177"/>
      <c r="S56" s="177"/>
      <c r="T56" s="177"/>
      <c r="U56" s="177"/>
      <c r="V56" s="177"/>
      <c r="W56" s="177"/>
      <c r="X56" s="178"/>
      <c r="Y56" s="178"/>
      <c r="Z56" s="175"/>
      <c r="AA56" s="179"/>
      <c r="AB56" t="s" s="182">
        <f>'Calculations'!W50</f>
      </c>
      <c r="AC56" t="s" s="183">
        <f>'Calculations'!AG50</f>
      </c>
      <c r="AD56" s="14"/>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9"/>
    </row>
    <row r="57" ht="16" customHeight="1">
      <c r="A57" s="130"/>
      <c r="B57" s="185"/>
      <c r="C57" s="169"/>
      <c r="D57" s="169"/>
      <c r="E57" s="169"/>
      <c r="F57" s="169"/>
      <c r="G57" s="169"/>
      <c r="H57" s="177"/>
      <c r="I57" t="s" s="171">
        <f>'Calculations'!G51</f>
      </c>
      <c r="J57" s="178"/>
      <c r="K57" s="175"/>
      <c r="L57" s="175"/>
      <c r="M57" s="175"/>
      <c r="N57" s="175"/>
      <c r="O57" s="175"/>
      <c r="P57" s="175"/>
      <c r="Q57" s="175"/>
      <c r="R57" s="177"/>
      <c r="S57" s="177"/>
      <c r="T57" s="177"/>
      <c r="U57" s="177"/>
      <c r="V57" s="177"/>
      <c r="W57" s="177"/>
      <c r="X57" s="178"/>
      <c r="Y57" s="178"/>
      <c r="Z57" s="175"/>
      <c r="AA57" s="179"/>
      <c r="AB57" t="s" s="182">
        <f>'Calculations'!W51</f>
      </c>
      <c r="AC57" t="s" s="183">
        <f>'Calculations'!AG51</f>
      </c>
      <c r="AD57" s="14"/>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c r="BO57" s="47"/>
      <c r="BP57" s="47"/>
      <c r="BQ57" s="47"/>
      <c r="BR57" s="47"/>
      <c r="BS57" s="49"/>
    </row>
    <row r="58" ht="16" customHeight="1">
      <c r="A58" s="130"/>
      <c r="B58" s="185"/>
      <c r="C58" s="169"/>
      <c r="D58" s="169"/>
      <c r="E58" s="169"/>
      <c r="F58" s="169"/>
      <c r="G58" s="169"/>
      <c r="H58" s="177"/>
      <c r="I58" t="s" s="171">
        <f>'Calculations'!G52</f>
      </c>
      <c r="J58" s="178"/>
      <c r="K58" s="175"/>
      <c r="L58" s="175"/>
      <c r="M58" s="175"/>
      <c r="N58" s="175"/>
      <c r="O58" s="175"/>
      <c r="P58" s="175"/>
      <c r="Q58" s="175"/>
      <c r="R58" s="177"/>
      <c r="S58" s="177"/>
      <c r="T58" s="177"/>
      <c r="U58" s="177"/>
      <c r="V58" s="177"/>
      <c r="W58" s="177"/>
      <c r="X58" s="178"/>
      <c r="Y58" s="178"/>
      <c r="Z58" s="175"/>
      <c r="AA58" s="179"/>
      <c r="AB58" t="s" s="182">
        <f>'Calculations'!W52</f>
      </c>
      <c r="AC58" t="s" s="183">
        <f>'Calculations'!AG52</f>
      </c>
      <c r="AD58" s="14"/>
      <c r="AE58" s="47"/>
      <c r="AF58" s="47"/>
      <c r="AG58" s="47"/>
      <c r="AH58" s="47"/>
      <c r="AI58" s="47"/>
      <c r="AJ58" s="47"/>
      <c r="AK58" s="47"/>
      <c r="AL58" s="47"/>
      <c r="AM58" s="47"/>
      <c r="AN58" s="47"/>
      <c r="AO58" s="47"/>
      <c r="AP58" s="47"/>
      <c r="AQ58" s="47"/>
      <c r="AR58" s="47"/>
      <c r="AS58" s="47"/>
      <c r="AT58" s="47"/>
      <c r="AU58" s="47"/>
      <c r="AV58" s="47"/>
      <c r="AW58" s="47"/>
      <c r="AX58" s="47"/>
      <c r="AY58" s="47"/>
      <c r="AZ58" s="47"/>
      <c r="BA58" s="47"/>
      <c r="BB58" s="47"/>
      <c r="BC58" s="47"/>
      <c r="BD58" s="47"/>
      <c r="BE58" s="47"/>
      <c r="BF58" s="47"/>
      <c r="BG58" s="47"/>
      <c r="BH58" s="47"/>
      <c r="BI58" s="47"/>
      <c r="BJ58" s="47"/>
      <c r="BK58" s="47"/>
      <c r="BL58" s="47"/>
      <c r="BM58" s="47"/>
      <c r="BN58" s="47"/>
      <c r="BO58" s="47"/>
      <c r="BP58" s="47"/>
      <c r="BQ58" s="47"/>
      <c r="BR58" s="47"/>
      <c r="BS58" s="49"/>
    </row>
    <row r="59" ht="16" customHeight="1">
      <c r="A59" s="130"/>
      <c r="B59" s="185"/>
      <c r="C59" s="169"/>
      <c r="D59" s="169"/>
      <c r="E59" s="169"/>
      <c r="F59" s="169"/>
      <c r="G59" s="169"/>
      <c r="H59" s="177"/>
      <c r="I59" t="s" s="171">
        <f>'Calculations'!G53</f>
      </c>
      <c r="J59" s="178"/>
      <c r="K59" s="175"/>
      <c r="L59" s="175"/>
      <c r="M59" s="175"/>
      <c r="N59" s="175"/>
      <c r="O59" s="175"/>
      <c r="P59" s="175"/>
      <c r="Q59" s="175"/>
      <c r="R59" s="177"/>
      <c r="S59" s="177"/>
      <c r="T59" s="177"/>
      <c r="U59" s="177"/>
      <c r="V59" s="177"/>
      <c r="W59" s="177"/>
      <c r="X59" s="178"/>
      <c r="Y59" s="178"/>
      <c r="Z59" s="175"/>
      <c r="AA59" s="179"/>
      <c r="AB59" t="s" s="182">
        <f>'Calculations'!W53</f>
      </c>
      <c r="AC59" t="s" s="183">
        <f>'Calculations'!AG53</f>
      </c>
      <c r="AD59" s="14"/>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9"/>
    </row>
    <row r="60" ht="16" customHeight="1">
      <c r="A60" s="130"/>
      <c r="B60" s="185"/>
      <c r="C60" s="169"/>
      <c r="D60" s="169"/>
      <c r="E60" s="169"/>
      <c r="F60" s="169"/>
      <c r="G60" s="169"/>
      <c r="H60" s="177"/>
      <c r="I60" t="s" s="171">
        <f>'Calculations'!G54</f>
      </c>
      <c r="J60" s="178"/>
      <c r="K60" s="175"/>
      <c r="L60" s="175"/>
      <c r="M60" s="175"/>
      <c r="N60" s="175"/>
      <c r="O60" s="175"/>
      <c r="P60" s="175"/>
      <c r="Q60" s="175"/>
      <c r="R60" s="177"/>
      <c r="S60" s="177"/>
      <c r="T60" s="177"/>
      <c r="U60" s="177"/>
      <c r="V60" s="177"/>
      <c r="W60" s="177"/>
      <c r="X60" s="178"/>
      <c r="Y60" s="178"/>
      <c r="Z60" s="175"/>
      <c r="AA60" s="179"/>
      <c r="AB60" t="s" s="182">
        <f>'Calculations'!W54</f>
      </c>
      <c r="AC60" t="s" s="183">
        <f>'Calculations'!AG54</f>
      </c>
      <c r="AD60" s="14"/>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9"/>
    </row>
    <row r="61" ht="16" customHeight="1">
      <c r="A61" s="130"/>
      <c r="B61" s="185"/>
      <c r="C61" s="169"/>
      <c r="D61" s="169"/>
      <c r="E61" s="169"/>
      <c r="F61" s="169"/>
      <c r="G61" s="169"/>
      <c r="H61" s="177"/>
      <c r="I61" t="s" s="171">
        <f>'Calculations'!G55</f>
      </c>
      <c r="J61" s="178"/>
      <c r="K61" s="175"/>
      <c r="L61" s="175"/>
      <c r="M61" s="175"/>
      <c r="N61" s="175"/>
      <c r="O61" s="175"/>
      <c r="P61" s="175"/>
      <c r="Q61" s="175"/>
      <c r="R61" s="177"/>
      <c r="S61" s="177"/>
      <c r="T61" s="177"/>
      <c r="U61" s="177"/>
      <c r="V61" s="177"/>
      <c r="W61" s="177"/>
      <c r="X61" s="178"/>
      <c r="Y61" s="178"/>
      <c r="Z61" s="175"/>
      <c r="AA61" s="179"/>
      <c r="AB61" t="s" s="182">
        <f>'Calculations'!W55</f>
      </c>
      <c r="AC61" t="s" s="183">
        <f>'Calculations'!AG55</f>
      </c>
      <c r="AD61" s="14"/>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c r="BO61" s="47"/>
      <c r="BP61" s="47"/>
      <c r="BQ61" s="47"/>
      <c r="BR61" s="47"/>
      <c r="BS61" s="49"/>
    </row>
    <row r="62" ht="16" customHeight="1">
      <c r="A62" s="130"/>
      <c r="B62" s="185"/>
      <c r="C62" s="169"/>
      <c r="D62" s="169"/>
      <c r="E62" s="169"/>
      <c r="F62" s="169"/>
      <c r="G62" s="169"/>
      <c r="H62" s="177"/>
      <c r="I62" t="s" s="171">
        <f>'Calculations'!G56</f>
      </c>
      <c r="J62" s="178"/>
      <c r="K62" s="175"/>
      <c r="L62" s="175"/>
      <c r="M62" s="175"/>
      <c r="N62" s="175"/>
      <c r="O62" s="175"/>
      <c r="P62" s="175"/>
      <c r="Q62" s="175"/>
      <c r="R62" s="177"/>
      <c r="S62" s="177"/>
      <c r="T62" s="177"/>
      <c r="U62" s="177"/>
      <c r="V62" s="177"/>
      <c r="W62" s="177"/>
      <c r="X62" s="178"/>
      <c r="Y62" s="178"/>
      <c r="Z62" s="175"/>
      <c r="AA62" s="179"/>
      <c r="AB62" t="s" s="182">
        <f>'Calculations'!W56</f>
      </c>
      <c r="AC62" t="s" s="183">
        <f>'Calculations'!AG56</f>
      </c>
      <c r="AD62" s="14"/>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9"/>
    </row>
    <row r="63" ht="16" customHeight="1">
      <c r="A63" s="130"/>
      <c r="B63" s="185"/>
      <c r="C63" s="169"/>
      <c r="D63" s="169"/>
      <c r="E63" s="169"/>
      <c r="F63" s="169"/>
      <c r="G63" s="169"/>
      <c r="H63" s="177"/>
      <c r="I63" t="s" s="171">
        <f>'Calculations'!G57</f>
      </c>
      <c r="J63" s="178"/>
      <c r="K63" s="175"/>
      <c r="L63" s="175"/>
      <c r="M63" s="175"/>
      <c r="N63" s="175"/>
      <c r="O63" s="175"/>
      <c r="P63" s="175"/>
      <c r="Q63" s="175"/>
      <c r="R63" s="177"/>
      <c r="S63" s="177"/>
      <c r="T63" s="177"/>
      <c r="U63" s="177"/>
      <c r="V63" s="177"/>
      <c r="W63" s="177"/>
      <c r="X63" s="178"/>
      <c r="Y63" s="178"/>
      <c r="Z63" s="175"/>
      <c r="AA63" s="179"/>
      <c r="AB63" t="s" s="182">
        <f>'Calculations'!W57</f>
      </c>
      <c r="AC63" t="s" s="183">
        <f>'Calculations'!AG57</f>
      </c>
      <c r="AD63" s="14"/>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9"/>
    </row>
    <row r="64" ht="14.5" customHeight="1">
      <c r="A64" s="130"/>
      <c r="B64" s="185"/>
      <c r="C64" s="169"/>
      <c r="D64" s="169"/>
      <c r="E64" s="169"/>
      <c r="F64" s="169"/>
      <c r="G64" s="169"/>
      <c r="H64" s="177"/>
      <c r="I64" t="s" s="171">
        <f>'Calculations'!G58</f>
      </c>
      <c r="J64" s="178"/>
      <c r="K64" s="175"/>
      <c r="L64" s="175"/>
      <c r="M64" s="175"/>
      <c r="N64" s="175"/>
      <c r="O64" s="175"/>
      <c r="P64" s="175"/>
      <c r="Q64" s="175"/>
      <c r="R64" s="177"/>
      <c r="S64" s="177"/>
      <c r="T64" s="177"/>
      <c r="U64" s="177"/>
      <c r="V64" s="177"/>
      <c r="W64" s="177"/>
      <c r="X64" s="178"/>
      <c r="Y64" s="178"/>
      <c r="Z64" s="175"/>
      <c r="AA64" s="179"/>
      <c r="AB64" t="s" s="182">
        <f>'Calculations'!W58</f>
      </c>
      <c r="AC64" t="s" s="183">
        <f>'Calculations'!AG58</f>
      </c>
      <c r="AD64" s="14"/>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9"/>
    </row>
    <row r="65" ht="16" customHeight="1">
      <c r="A65" s="130"/>
      <c r="B65" s="185"/>
      <c r="C65" s="169"/>
      <c r="D65" s="169"/>
      <c r="E65" s="169"/>
      <c r="F65" s="169"/>
      <c r="G65" s="169"/>
      <c r="H65" s="177"/>
      <c r="I65" t="s" s="171">
        <f>'Calculations'!G59</f>
      </c>
      <c r="J65" s="178"/>
      <c r="K65" s="175"/>
      <c r="L65" s="175"/>
      <c r="M65" s="175"/>
      <c r="N65" s="175"/>
      <c r="O65" s="175"/>
      <c r="P65" s="175"/>
      <c r="Q65" s="175"/>
      <c r="R65" s="177"/>
      <c r="S65" s="177"/>
      <c r="T65" s="177"/>
      <c r="U65" s="177"/>
      <c r="V65" s="177"/>
      <c r="W65" s="177"/>
      <c r="X65" s="178"/>
      <c r="Y65" s="178"/>
      <c r="Z65" s="175"/>
      <c r="AA65" s="179"/>
      <c r="AB65" t="s" s="182">
        <f>'Calculations'!W59</f>
      </c>
      <c r="AC65" t="s" s="183">
        <f>'Calculations'!AG59</f>
      </c>
      <c r="AD65" s="14"/>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9"/>
    </row>
    <row r="66" ht="16" customHeight="1">
      <c r="A66" s="130"/>
      <c r="B66" s="185"/>
      <c r="C66" s="169"/>
      <c r="D66" s="169"/>
      <c r="E66" s="169"/>
      <c r="F66" s="169"/>
      <c r="G66" s="169"/>
      <c r="H66" s="177"/>
      <c r="I66" t="s" s="171">
        <f>'Calculations'!G60</f>
      </c>
      <c r="J66" s="178"/>
      <c r="K66" s="175"/>
      <c r="L66" s="175"/>
      <c r="M66" s="175"/>
      <c r="N66" s="175"/>
      <c r="O66" s="175"/>
      <c r="P66" s="175"/>
      <c r="Q66" s="175"/>
      <c r="R66" s="177"/>
      <c r="S66" s="177"/>
      <c r="T66" s="177"/>
      <c r="U66" s="177"/>
      <c r="V66" s="177"/>
      <c r="W66" s="177"/>
      <c r="X66" s="178"/>
      <c r="Y66" s="178"/>
      <c r="Z66" s="175"/>
      <c r="AA66" s="179"/>
      <c r="AB66" t="s" s="182">
        <f>'Calculations'!W60</f>
      </c>
      <c r="AC66" t="s" s="183">
        <f>'Calculations'!AG60</f>
      </c>
      <c r="AD66" s="14"/>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9"/>
    </row>
    <row r="67" ht="16" customHeight="1">
      <c r="A67" s="130"/>
      <c r="B67" s="185"/>
      <c r="C67" s="169"/>
      <c r="D67" s="169"/>
      <c r="E67" s="169"/>
      <c r="F67" s="169"/>
      <c r="G67" s="169"/>
      <c r="H67" s="177"/>
      <c r="I67" t="s" s="171">
        <f>'Calculations'!G61</f>
      </c>
      <c r="J67" s="178"/>
      <c r="K67" s="175"/>
      <c r="L67" s="175"/>
      <c r="M67" s="175"/>
      <c r="N67" s="175"/>
      <c r="O67" s="175"/>
      <c r="P67" s="175"/>
      <c r="Q67" s="175"/>
      <c r="R67" s="177"/>
      <c r="S67" s="177"/>
      <c r="T67" s="177"/>
      <c r="U67" s="177"/>
      <c r="V67" s="177"/>
      <c r="W67" s="177"/>
      <c r="X67" s="178"/>
      <c r="Y67" s="178"/>
      <c r="Z67" s="175"/>
      <c r="AA67" s="179"/>
      <c r="AB67" t="s" s="182">
        <f>'Calculations'!W61</f>
      </c>
      <c r="AC67" t="s" s="183">
        <f>'Calculations'!AG61</f>
      </c>
      <c r="AD67" s="14"/>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9"/>
    </row>
    <row r="68" ht="16" customHeight="1">
      <c r="A68" s="130"/>
      <c r="B68" s="185"/>
      <c r="C68" s="169"/>
      <c r="D68" s="169"/>
      <c r="E68" s="169"/>
      <c r="F68" s="169"/>
      <c r="G68" s="169"/>
      <c r="H68" s="177"/>
      <c r="I68" t="s" s="171">
        <f>'Calculations'!G62</f>
      </c>
      <c r="J68" s="178"/>
      <c r="K68" s="175"/>
      <c r="L68" s="175"/>
      <c r="M68" s="175"/>
      <c r="N68" s="175"/>
      <c r="O68" s="175"/>
      <c r="P68" s="175"/>
      <c r="Q68" s="175"/>
      <c r="R68" s="177"/>
      <c r="S68" s="177"/>
      <c r="T68" s="177"/>
      <c r="U68" s="177"/>
      <c r="V68" s="177"/>
      <c r="W68" s="177"/>
      <c r="X68" s="178"/>
      <c r="Y68" s="178"/>
      <c r="Z68" s="175"/>
      <c r="AA68" s="179"/>
      <c r="AB68" t="s" s="182">
        <f>'Calculations'!W62</f>
      </c>
      <c r="AC68" t="s" s="183">
        <f>'Calculations'!AG62</f>
      </c>
      <c r="AD68" s="14"/>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9"/>
    </row>
    <row r="69" ht="17" customHeight="1">
      <c r="A69" s="130"/>
      <c r="B69" s="186"/>
      <c r="C69" s="187"/>
      <c r="D69" s="187"/>
      <c r="E69" s="187"/>
      <c r="F69" s="187"/>
      <c r="G69" s="187"/>
      <c r="H69" s="188"/>
      <c r="I69" t="s" s="189">
        <f>'Calculations'!G63</f>
      </c>
      <c r="J69" s="190"/>
      <c r="K69" s="191"/>
      <c r="L69" s="191"/>
      <c r="M69" s="191"/>
      <c r="N69" s="191"/>
      <c r="O69" s="191"/>
      <c r="P69" s="191"/>
      <c r="Q69" s="191"/>
      <c r="R69" s="188"/>
      <c r="S69" s="188"/>
      <c r="T69" s="188"/>
      <c r="U69" s="188"/>
      <c r="V69" s="188"/>
      <c r="W69" s="188"/>
      <c r="X69" s="190"/>
      <c r="Y69" s="190"/>
      <c r="Z69" s="191"/>
      <c r="AA69" s="192"/>
      <c r="AB69" t="s" s="193">
        <f>'Calculations'!W63</f>
      </c>
      <c r="AC69" t="s" s="194">
        <f>'Calculations'!AG63</f>
      </c>
      <c r="AD69" s="14"/>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9"/>
    </row>
    <row r="70" ht="14.05" customHeight="1">
      <c r="A70" s="121"/>
      <c r="B70" s="195"/>
      <c r="C70" s="195"/>
      <c r="D70" s="195"/>
      <c r="E70" s="196"/>
      <c r="F70" s="196"/>
      <c r="G70" s="195"/>
      <c r="H70" s="195"/>
      <c r="I70" s="195"/>
      <c r="J70" s="195"/>
      <c r="K70" s="195"/>
      <c r="L70" s="195"/>
      <c r="M70" s="195"/>
      <c r="N70" s="195"/>
      <c r="O70" s="195"/>
      <c r="P70" s="195"/>
      <c r="Q70" s="195"/>
      <c r="R70" s="197"/>
      <c r="S70" s="197"/>
      <c r="T70" s="197"/>
      <c r="U70" s="197"/>
      <c r="V70" s="197"/>
      <c r="W70" s="197"/>
      <c r="X70" s="195"/>
      <c r="Y70" s="195"/>
      <c r="Z70" s="195"/>
      <c r="AA70" s="195"/>
      <c r="AB70" s="195"/>
      <c r="AC70" s="195"/>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9"/>
    </row>
    <row r="71" ht="13.55" customHeight="1">
      <c r="A71" s="121"/>
      <c r="B71" s="123"/>
      <c r="C71" s="123"/>
      <c r="D71" s="123"/>
      <c r="E71" s="198"/>
      <c r="F71" s="198"/>
      <c r="G71" s="123"/>
      <c r="H71" s="123"/>
      <c r="I71" s="123"/>
      <c r="J71" s="123"/>
      <c r="K71" s="123"/>
      <c r="L71" s="123"/>
      <c r="M71" s="123"/>
      <c r="N71" s="123"/>
      <c r="O71" s="123"/>
      <c r="P71" s="123"/>
      <c r="Q71" s="123"/>
      <c r="R71" s="199"/>
      <c r="S71" s="199"/>
      <c r="T71" s="199"/>
      <c r="U71" s="199"/>
      <c r="V71" s="199"/>
      <c r="W71" s="199"/>
      <c r="X71" s="123"/>
      <c r="Y71" s="123"/>
      <c r="Z71" s="123"/>
      <c r="AA71" s="123"/>
      <c r="AB71" s="123"/>
      <c r="AC71" s="123"/>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9"/>
    </row>
    <row r="72" ht="13.55" customHeight="1">
      <c r="A72" s="121"/>
      <c r="B72" s="123"/>
      <c r="C72" s="123"/>
      <c r="D72" s="123"/>
      <c r="E72" s="198"/>
      <c r="F72" s="198"/>
      <c r="G72" s="123"/>
      <c r="H72" s="123"/>
      <c r="I72" s="123"/>
      <c r="J72" s="123"/>
      <c r="K72" s="123"/>
      <c r="L72" s="123"/>
      <c r="M72" s="123"/>
      <c r="N72" s="123"/>
      <c r="O72" s="123"/>
      <c r="P72" s="123"/>
      <c r="Q72" s="123"/>
      <c r="R72" s="199"/>
      <c r="S72" s="199"/>
      <c r="T72" s="199"/>
      <c r="U72" s="199"/>
      <c r="V72" s="199"/>
      <c r="W72" s="199"/>
      <c r="X72" s="123"/>
      <c r="Y72" s="123"/>
      <c r="Z72" s="123"/>
      <c r="AA72" s="123"/>
      <c r="AB72" s="123"/>
      <c r="AC72" s="123"/>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9"/>
    </row>
    <row r="73" ht="13.55" customHeight="1">
      <c r="A73" s="121"/>
      <c r="B73" s="123"/>
      <c r="C73" s="123"/>
      <c r="D73" s="123"/>
      <c r="E73" s="198"/>
      <c r="F73" s="198"/>
      <c r="G73" s="123"/>
      <c r="H73" s="123"/>
      <c r="I73" s="123"/>
      <c r="J73" s="123"/>
      <c r="K73" s="123"/>
      <c r="L73" s="123"/>
      <c r="M73" s="123"/>
      <c r="N73" s="123"/>
      <c r="O73" s="123"/>
      <c r="P73" s="123"/>
      <c r="Q73" s="123"/>
      <c r="R73" s="199"/>
      <c r="S73" s="199"/>
      <c r="T73" s="199"/>
      <c r="U73" s="199"/>
      <c r="V73" s="199"/>
      <c r="W73" s="199"/>
      <c r="X73" s="123"/>
      <c r="Y73" s="123"/>
      <c r="Z73" s="123"/>
      <c r="AA73" s="123"/>
      <c r="AB73" s="123"/>
      <c r="AC73" s="123"/>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9"/>
    </row>
    <row r="74" ht="13.55" customHeight="1">
      <c r="A74" s="121"/>
      <c r="B74" s="123"/>
      <c r="C74" s="123"/>
      <c r="D74" s="123"/>
      <c r="E74" s="198"/>
      <c r="F74" s="198"/>
      <c r="G74" s="123"/>
      <c r="H74" s="123"/>
      <c r="I74" s="123"/>
      <c r="J74" s="123"/>
      <c r="K74" s="123"/>
      <c r="L74" s="123"/>
      <c r="M74" s="123"/>
      <c r="N74" s="123"/>
      <c r="O74" s="123"/>
      <c r="P74" s="123"/>
      <c r="Q74" s="123"/>
      <c r="R74" s="199"/>
      <c r="S74" s="199"/>
      <c r="T74" s="199"/>
      <c r="U74" s="199"/>
      <c r="V74" s="199"/>
      <c r="W74" s="199"/>
      <c r="X74" s="123"/>
      <c r="Y74" s="123"/>
      <c r="Z74" s="123"/>
      <c r="AA74" s="123"/>
      <c r="AB74" s="123"/>
      <c r="AC74" s="123"/>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N74" s="47"/>
      <c r="BO74" s="47"/>
      <c r="BP74" s="47"/>
      <c r="BQ74" s="47"/>
      <c r="BR74" s="47"/>
      <c r="BS74" s="49"/>
    </row>
    <row r="75" ht="13.55" customHeight="1">
      <c r="A75" s="121"/>
      <c r="B75" s="123"/>
      <c r="C75" s="123"/>
      <c r="D75" s="123"/>
      <c r="E75" s="198"/>
      <c r="F75" s="198"/>
      <c r="G75" s="123"/>
      <c r="H75" s="123"/>
      <c r="I75" s="123"/>
      <c r="J75" s="123"/>
      <c r="K75" s="123"/>
      <c r="L75" s="123"/>
      <c r="M75" s="123"/>
      <c r="N75" s="123"/>
      <c r="O75" s="123"/>
      <c r="P75" s="123"/>
      <c r="Q75" s="123"/>
      <c r="R75" s="199"/>
      <c r="S75" s="199"/>
      <c r="T75" s="199"/>
      <c r="U75" s="199"/>
      <c r="V75" s="199"/>
      <c r="W75" s="199"/>
      <c r="X75" s="123"/>
      <c r="Y75" s="123"/>
      <c r="Z75" s="123"/>
      <c r="AA75" s="123"/>
      <c r="AB75" s="123"/>
      <c r="AC75" s="123"/>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9"/>
    </row>
    <row r="76" ht="13.55" customHeight="1">
      <c r="A76" s="121"/>
      <c r="B76" s="123"/>
      <c r="C76" s="123"/>
      <c r="D76" s="123"/>
      <c r="E76" s="198"/>
      <c r="F76" s="198"/>
      <c r="G76" s="123"/>
      <c r="H76" s="123"/>
      <c r="I76" s="123"/>
      <c r="J76" s="123"/>
      <c r="K76" s="123"/>
      <c r="L76" s="123"/>
      <c r="M76" s="123"/>
      <c r="N76" s="123"/>
      <c r="O76" s="123"/>
      <c r="P76" s="123"/>
      <c r="Q76" s="123"/>
      <c r="R76" s="199"/>
      <c r="S76" s="199"/>
      <c r="T76" s="199"/>
      <c r="U76" s="199"/>
      <c r="V76" s="199"/>
      <c r="W76" s="199"/>
      <c r="X76" s="123"/>
      <c r="Y76" s="123"/>
      <c r="Z76" s="123"/>
      <c r="AA76" s="123"/>
      <c r="AB76" s="123"/>
      <c r="AC76" s="123"/>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9"/>
    </row>
    <row r="77" ht="13.55" customHeight="1">
      <c r="A77" s="121"/>
      <c r="B77" s="123"/>
      <c r="C77" s="123"/>
      <c r="D77" s="123"/>
      <c r="E77" s="198"/>
      <c r="F77" s="198"/>
      <c r="G77" s="123"/>
      <c r="H77" s="123"/>
      <c r="I77" s="123"/>
      <c r="J77" s="123"/>
      <c r="K77" s="123"/>
      <c r="L77" s="123"/>
      <c r="M77" s="123"/>
      <c r="N77" s="123"/>
      <c r="O77" s="123"/>
      <c r="P77" s="123"/>
      <c r="Q77" s="123"/>
      <c r="R77" s="199"/>
      <c r="S77" s="199"/>
      <c r="T77" s="199"/>
      <c r="U77" s="199"/>
      <c r="V77" s="199"/>
      <c r="W77" s="199"/>
      <c r="X77" s="123"/>
      <c r="Y77" s="123"/>
      <c r="Z77" s="123"/>
      <c r="AA77" s="123"/>
      <c r="AB77" s="123"/>
      <c r="AC77" s="123"/>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9"/>
    </row>
    <row r="78" ht="13.55" customHeight="1">
      <c r="A78" s="121"/>
      <c r="B78" s="123"/>
      <c r="C78" s="123"/>
      <c r="D78" s="123"/>
      <c r="E78" s="198"/>
      <c r="F78" s="198"/>
      <c r="G78" s="123"/>
      <c r="H78" s="123"/>
      <c r="I78" s="123"/>
      <c r="J78" s="123"/>
      <c r="K78" s="123"/>
      <c r="L78" s="123"/>
      <c r="M78" s="123"/>
      <c r="N78" s="123"/>
      <c r="O78" s="123"/>
      <c r="P78" s="123"/>
      <c r="Q78" s="123"/>
      <c r="R78" s="199"/>
      <c r="S78" s="199"/>
      <c r="T78" s="199"/>
      <c r="U78" s="199"/>
      <c r="V78" s="199"/>
      <c r="W78" s="199"/>
      <c r="X78" s="123"/>
      <c r="Y78" s="123"/>
      <c r="Z78" s="123"/>
      <c r="AA78" s="123"/>
      <c r="AB78" s="123"/>
      <c r="AC78" s="123"/>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9"/>
    </row>
    <row r="79" ht="13.55" customHeight="1">
      <c r="A79" s="121"/>
      <c r="B79" s="123"/>
      <c r="C79" s="123"/>
      <c r="D79" s="123"/>
      <c r="E79" s="198"/>
      <c r="F79" s="198"/>
      <c r="G79" s="123"/>
      <c r="H79" s="123"/>
      <c r="I79" s="123"/>
      <c r="J79" s="123"/>
      <c r="K79" s="123"/>
      <c r="L79" s="123"/>
      <c r="M79" s="123"/>
      <c r="N79" s="123"/>
      <c r="O79" s="123"/>
      <c r="P79" s="123"/>
      <c r="Q79" s="123"/>
      <c r="R79" s="199"/>
      <c r="S79" s="199"/>
      <c r="T79" s="199"/>
      <c r="U79" s="199"/>
      <c r="V79" s="199"/>
      <c r="W79" s="199"/>
      <c r="X79" s="123"/>
      <c r="Y79" s="123"/>
      <c r="Z79" s="123"/>
      <c r="AA79" s="123"/>
      <c r="AB79" s="123"/>
      <c r="AC79" s="123"/>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9"/>
    </row>
    <row r="80" ht="13.55" customHeight="1">
      <c r="A80" s="121"/>
      <c r="B80" s="123"/>
      <c r="C80" s="123"/>
      <c r="D80" s="123"/>
      <c r="E80" s="198"/>
      <c r="F80" s="198"/>
      <c r="G80" s="123"/>
      <c r="H80" s="123"/>
      <c r="I80" s="123"/>
      <c r="J80" s="123"/>
      <c r="K80" s="123"/>
      <c r="L80" s="123"/>
      <c r="M80" s="123"/>
      <c r="N80" s="123"/>
      <c r="O80" s="123"/>
      <c r="P80" s="123"/>
      <c r="Q80" s="123"/>
      <c r="R80" s="199"/>
      <c r="S80" s="199"/>
      <c r="T80" s="199"/>
      <c r="U80" s="199"/>
      <c r="V80" s="199"/>
      <c r="W80" s="199"/>
      <c r="X80" s="123"/>
      <c r="Y80" s="123"/>
      <c r="Z80" s="123"/>
      <c r="AA80" s="123"/>
      <c r="AB80" s="123"/>
      <c r="AC80" s="123"/>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9"/>
    </row>
    <row r="81" ht="13.55" customHeight="1">
      <c r="A81" s="121"/>
      <c r="B81" s="123"/>
      <c r="C81" s="123"/>
      <c r="D81" s="123"/>
      <c r="E81" s="198"/>
      <c r="F81" s="198"/>
      <c r="G81" s="123"/>
      <c r="H81" s="123"/>
      <c r="I81" s="123"/>
      <c r="J81" s="123"/>
      <c r="K81" s="123"/>
      <c r="L81" s="123"/>
      <c r="M81" s="123"/>
      <c r="N81" s="123"/>
      <c r="O81" s="123"/>
      <c r="P81" s="123"/>
      <c r="Q81" s="123"/>
      <c r="R81" s="199"/>
      <c r="S81" s="199"/>
      <c r="T81" s="199"/>
      <c r="U81" s="199"/>
      <c r="V81" s="199"/>
      <c r="W81" s="199"/>
      <c r="X81" s="123"/>
      <c r="Y81" s="123"/>
      <c r="Z81" s="123"/>
      <c r="AA81" s="123"/>
      <c r="AB81" s="123"/>
      <c r="AC81" s="123"/>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9"/>
    </row>
    <row r="82" ht="13.55" customHeight="1">
      <c r="A82" s="121"/>
      <c r="B82" s="123"/>
      <c r="C82" s="123"/>
      <c r="D82" s="123"/>
      <c r="E82" s="198"/>
      <c r="F82" s="198"/>
      <c r="G82" s="123"/>
      <c r="H82" s="123"/>
      <c r="I82" s="123"/>
      <c r="J82" s="123"/>
      <c r="K82" s="123"/>
      <c r="L82" s="123"/>
      <c r="M82" s="123"/>
      <c r="N82" s="123"/>
      <c r="O82" s="123"/>
      <c r="P82" s="123"/>
      <c r="Q82" s="123"/>
      <c r="R82" s="199"/>
      <c r="S82" s="199"/>
      <c r="T82" s="199"/>
      <c r="U82" s="199"/>
      <c r="V82" s="199"/>
      <c r="W82" s="199"/>
      <c r="X82" s="123"/>
      <c r="Y82" s="123"/>
      <c r="Z82" s="123"/>
      <c r="AA82" s="123"/>
      <c r="AB82" s="123"/>
      <c r="AC82" s="123"/>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47"/>
      <c r="BS82" s="49"/>
    </row>
    <row r="83" ht="13.55" customHeight="1">
      <c r="A83" s="121"/>
      <c r="B83" s="123"/>
      <c r="C83" s="123"/>
      <c r="D83" s="123"/>
      <c r="E83" s="198"/>
      <c r="F83" s="198"/>
      <c r="G83" s="123"/>
      <c r="H83" s="123"/>
      <c r="I83" s="123"/>
      <c r="J83" s="123"/>
      <c r="K83" s="123"/>
      <c r="L83" s="123"/>
      <c r="M83" s="123"/>
      <c r="N83" s="123"/>
      <c r="O83" s="123"/>
      <c r="P83" s="123"/>
      <c r="Q83" s="123"/>
      <c r="R83" s="199"/>
      <c r="S83" s="199"/>
      <c r="T83" s="199"/>
      <c r="U83" s="199"/>
      <c r="V83" s="199"/>
      <c r="W83" s="199"/>
      <c r="X83" s="123"/>
      <c r="Y83" s="123"/>
      <c r="Z83" s="123"/>
      <c r="AA83" s="123"/>
      <c r="AB83" s="123"/>
      <c r="AC83" s="123"/>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9"/>
    </row>
    <row r="84" ht="13.55" customHeight="1">
      <c r="A84" s="121"/>
      <c r="B84" s="123"/>
      <c r="C84" s="123"/>
      <c r="D84" s="123"/>
      <c r="E84" s="198"/>
      <c r="F84" s="198"/>
      <c r="G84" s="123"/>
      <c r="H84" s="123"/>
      <c r="I84" s="123"/>
      <c r="J84" s="123"/>
      <c r="K84" s="123"/>
      <c r="L84" s="123"/>
      <c r="M84" s="123"/>
      <c r="N84" s="123"/>
      <c r="O84" s="123"/>
      <c r="P84" s="123"/>
      <c r="Q84" s="123"/>
      <c r="R84" s="199"/>
      <c r="S84" s="199"/>
      <c r="T84" s="199"/>
      <c r="U84" s="199"/>
      <c r="V84" s="199"/>
      <c r="W84" s="199"/>
      <c r="X84" s="123"/>
      <c r="Y84" s="123"/>
      <c r="Z84" s="123"/>
      <c r="AA84" s="123"/>
      <c r="AB84" s="123"/>
      <c r="AC84" s="123"/>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9"/>
    </row>
    <row r="85" ht="13.55" customHeight="1">
      <c r="A85" s="121"/>
      <c r="B85" s="123"/>
      <c r="C85" s="123"/>
      <c r="D85" s="123"/>
      <c r="E85" s="198"/>
      <c r="F85" s="198"/>
      <c r="G85" s="123"/>
      <c r="H85" s="123"/>
      <c r="I85" s="123"/>
      <c r="J85" s="123"/>
      <c r="K85" s="123"/>
      <c r="L85" s="123"/>
      <c r="M85" s="123"/>
      <c r="N85" s="123"/>
      <c r="O85" s="123"/>
      <c r="P85" s="123"/>
      <c r="Q85" s="123"/>
      <c r="R85" s="199"/>
      <c r="S85" s="199"/>
      <c r="T85" s="199"/>
      <c r="U85" s="199"/>
      <c r="V85" s="199"/>
      <c r="W85" s="199"/>
      <c r="X85" s="123"/>
      <c r="Y85" s="123"/>
      <c r="Z85" s="123"/>
      <c r="AA85" s="123"/>
      <c r="AB85" s="123"/>
      <c r="AC85" s="123"/>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9"/>
    </row>
    <row r="86" ht="13.55" customHeight="1">
      <c r="A86" s="121"/>
      <c r="B86" s="123"/>
      <c r="C86" s="123"/>
      <c r="D86" s="123"/>
      <c r="E86" s="198"/>
      <c r="F86" s="198"/>
      <c r="G86" s="123"/>
      <c r="H86" s="123"/>
      <c r="I86" s="123"/>
      <c r="J86" s="123"/>
      <c r="K86" s="123"/>
      <c r="L86" s="123"/>
      <c r="M86" s="123"/>
      <c r="N86" s="123"/>
      <c r="O86" s="123"/>
      <c r="P86" s="123"/>
      <c r="Q86" s="123"/>
      <c r="R86" s="199"/>
      <c r="S86" s="199"/>
      <c r="T86" s="199"/>
      <c r="U86" s="199"/>
      <c r="V86" s="199"/>
      <c r="W86" s="199"/>
      <c r="X86" s="123"/>
      <c r="Y86" s="123"/>
      <c r="Z86" s="123"/>
      <c r="AA86" s="123"/>
      <c r="AB86" s="123"/>
      <c r="AC86" s="123"/>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9"/>
    </row>
    <row r="87" ht="13.55" customHeight="1">
      <c r="A87" s="121"/>
      <c r="B87" s="123"/>
      <c r="C87" s="123"/>
      <c r="D87" s="123"/>
      <c r="E87" s="198"/>
      <c r="F87" s="198"/>
      <c r="G87" s="123"/>
      <c r="H87" s="123"/>
      <c r="I87" s="123"/>
      <c r="J87" s="123"/>
      <c r="K87" s="123"/>
      <c r="L87" s="123"/>
      <c r="M87" s="123"/>
      <c r="N87" s="123"/>
      <c r="O87" s="123"/>
      <c r="P87" s="123"/>
      <c r="Q87" s="123"/>
      <c r="R87" s="199"/>
      <c r="S87" s="199"/>
      <c r="T87" s="199"/>
      <c r="U87" s="199"/>
      <c r="V87" s="199"/>
      <c r="W87" s="199"/>
      <c r="X87" s="123"/>
      <c r="Y87" s="123"/>
      <c r="Z87" s="123"/>
      <c r="AA87" s="123"/>
      <c r="AB87" s="123"/>
      <c r="AC87" s="123"/>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c r="BR87" s="47"/>
      <c r="BS87" s="49"/>
    </row>
    <row r="88" ht="13.55" customHeight="1">
      <c r="A88" s="121"/>
      <c r="B88" s="123"/>
      <c r="C88" s="123"/>
      <c r="D88" s="123"/>
      <c r="E88" s="198"/>
      <c r="F88" s="198"/>
      <c r="G88" s="123"/>
      <c r="H88" s="123"/>
      <c r="I88" s="123"/>
      <c r="J88" s="123"/>
      <c r="K88" s="123"/>
      <c r="L88" s="123"/>
      <c r="M88" s="123"/>
      <c r="N88" s="123"/>
      <c r="O88" s="123"/>
      <c r="P88" s="123"/>
      <c r="Q88" s="123"/>
      <c r="R88" s="199"/>
      <c r="S88" s="199"/>
      <c r="T88" s="199"/>
      <c r="U88" s="199"/>
      <c r="V88" s="199"/>
      <c r="W88" s="199"/>
      <c r="X88" s="123"/>
      <c r="Y88" s="123"/>
      <c r="Z88" s="123"/>
      <c r="AA88" s="123"/>
      <c r="AB88" s="123"/>
      <c r="AC88" s="123"/>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9"/>
    </row>
    <row r="89" ht="13.55" customHeight="1">
      <c r="A89" s="121"/>
      <c r="B89" s="123"/>
      <c r="C89" s="123"/>
      <c r="D89" s="123"/>
      <c r="E89" s="198"/>
      <c r="F89" s="198"/>
      <c r="G89" s="123"/>
      <c r="H89" s="123"/>
      <c r="I89" s="123"/>
      <c r="J89" s="123"/>
      <c r="K89" s="123"/>
      <c r="L89" s="123"/>
      <c r="M89" s="123"/>
      <c r="N89" s="123"/>
      <c r="O89" s="123"/>
      <c r="P89" s="123"/>
      <c r="Q89" s="123"/>
      <c r="R89" s="199"/>
      <c r="S89" s="199"/>
      <c r="T89" s="199"/>
      <c r="U89" s="199"/>
      <c r="V89" s="199"/>
      <c r="W89" s="199"/>
      <c r="X89" s="123"/>
      <c r="Y89" s="123"/>
      <c r="Z89" s="123"/>
      <c r="AA89" s="123"/>
      <c r="AB89" s="123"/>
      <c r="AC89" s="123"/>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9"/>
    </row>
    <row r="90" ht="13.55" customHeight="1">
      <c r="A90" s="121"/>
      <c r="B90" s="123"/>
      <c r="C90" s="123"/>
      <c r="D90" s="123"/>
      <c r="E90" s="198"/>
      <c r="F90" s="198"/>
      <c r="G90" s="123"/>
      <c r="H90" s="123"/>
      <c r="I90" s="123"/>
      <c r="J90" s="123"/>
      <c r="K90" s="123"/>
      <c r="L90" s="123"/>
      <c r="M90" s="123"/>
      <c r="N90" s="123"/>
      <c r="O90" s="123"/>
      <c r="P90" s="123"/>
      <c r="Q90" s="123"/>
      <c r="R90" s="199"/>
      <c r="S90" s="199"/>
      <c r="T90" s="199"/>
      <c r="U90" s="199"/>
      <c r="V90" s="199"/>
      <c r="W90" s="199"/>
      <c r="X90" s="123"/>
      <c r="Y90" s="123"/>
      <c r="Z90" s="123"/>
      <c r="AA90" s="123"/>
      <c r="AB90" s="123"/>
      <c r="AC90" s="123"/>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BI90" s="47"/>
      <c r="BJ90" s="47"/>
      <c r="BK90" s="47"/>
      <c r="BL90" s="47"/>
      <c r="BM90" s="47"/>
      <c r="BN90" s="47"/>
      <c r="BO90" s="47"/>
      <c r="BP90" s="47"/>
      <c r="BQ90" s="47"/>
      <c r="BR90" s="47"/>
      <c r="BS90" s="49"/>
    </row>
    <row r="91" ht="13.55" customHeight="1">
      <c r="A91" s="121"/>
      <c r="B91" s="123"/>
      <c r="C91" s="123"/>
      <c r="D91" s="123"/>
      <c r="E91" s="198"/>
      <c r="F91" s="198"/>
      <c r="G91" s="123"/>
      <c r="H91" s="123"/>
      <c r="I91" s="123"/>
      <c r="J91" s="123"/>
      <c r="K91" s="123"/>
      <c r="L91" s="123"/>
      <c r="M91" s="123"/>
      <c r="N91" s="123"/>
      <c r="O91" s="123"/>
      <c r="P91" s="123"/>
      <c r="Q91" s="123"/>
      <c r="R91" s="199"/>
      <c r="S91" s="199"/>
      <c r="T91" s="199"/>
      <c r="U91" s="199"/>
      <c r="V91" s="199"/>
      <c r="W91" s="199"/>
      <c r="X91" s="123"/>
      <c r="Y91" s="123"/>
      <c r="Z91" s="123"/>
      <c r="AA91" s="123"/>
      <c r="AB91" s="123"/>
      <c r="AC91" s="123"/>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Q91" s="47"/>
      <c r="BR91" s="47"/>
      <c r="BS91" s="49"/>
    </row>
    <row r="92" ht="13.55" customHeight="1">
      <c r="A92" s="121"/>
      <c r="B92" s="123"/>
      <c r="C92" s="123"/>
      <c r="D92" s="123"/>
      <c r="E92" s="198"/>
      <c r="F92" s="198"/>
      <c r="G92" s="123"/>
      <c r="H92" s="123"/>
      <c r="I92" s="123"/>
      <c r="J92" s="123"/>
      <c r="K92" s="123"/>
      <c r="L92" s="123"/>
      <c r="M92" s="123"/>
      <c r="N92" s="123"/>
      <c r="O92" s="123"/>
      <c r="P92" s="123"/>
      <c r="Q92" s="123"/>
      <c r="R92" s="199"/>
      <c r="S92" s="199"/>
      <c r="T92" s="199"/>
      <c r="U92" s="199"/>
      <c r="V92" s="199"/>
      <c r="W92" s="199"/>
      <c r="X92" s="123"/>
      <c r="Y92" s="123"/>
      <c r="Z92" s="123"/>
      <c r="AA92" s="123"/>
      <c r="AB92" s="123"/>
      <c r="AC92" s="123"/>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9"/>
    </row>
    <row r="93" ht="13.55" customHeight="1">
      <c r="A93" s="121"/>
      <c r="B93" s="123"/>
      <c r="C93" s="123"/>
      <c r="D93" s="123"/>
      <c r="E93" s="198"/>
      <c r="F93" s="198"/>
      <c r="G93" s="123"/>
      <c r="H93" s="123"/>
      <c r="I93" s="123"/>
      <c r="J93" s="123"/>
      <c r="K93" s="123"/>
      <c r="L93" s="123"/>
      <c r="M93" s="123"/>
      <c r="N93" s="123"/>
      <c r="O93" s="123"/>
      <c r="P93" s="123"/>
      <c r="Q93" s="123"/>
      <c r="R93" s="199"/>
      <c r="S93" s="199"/>
      <c r="T93" s="199"/>
      <c r="U93" s="199"/>
      <c r="V93" s="199"/>
      <c r="W93" s="199"/>
      <c r="X93" s="123"/>
      <c r="Y93" s="123"/>
      <c r="Z93" s="123"/>
      <c r="AA93" s="123"/>
      <c r="AB93" s="123"/>
      <c r="AC93" s="123"/>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9"/>
    </row>
    <row r="94" ht="13.55" customHeight="1">
      <c r="A94" s="121"/>
      <c r="B94" s="123"/>
      <c r="C94" s="123"/>
      <c r="D94" s="123"/>
      <c r="E94" s="198"/>
      <c r="F94" s="198"/>
      <c r="G94" s="123"/>
      <c r="H94" s="123"/>
      <c r="I94" s="123"/>
      <c r="J94" s="123"/>
      <c r="K94" s="123"/>
      <c r="L94" s="123"/>
      <c r="M94" s="123"/>
      <c r="N94" s="123"/>
      <c r="O94" s="123"/>
      <c r="P94" s="123"/>
      <c r="Q94" s="123"/>
      <c r="R94" s="199"/>
      <c r="S94" s="199"/>
      <c r="T94" s="199"/>
      <c r="U94" s="199"/>
      <c r="V94" s="199"/>
      <c r="W94" s="199"/>
      <c r="X94" s="123"/>
      <c r="Y94" s="123"/>
      <c r="Z94" s="123"/>
      <c r="AA94" s="123"/>
      <c r="AB94" s="123"/>
      <c r="AC94" s="123"/>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N94" s="47"/>
      <c r="BO94" s="47"/>
      <c r="BP94" s="47"/>
      <c r="BQ94" s="47"/>
      <c r="BR94" s="47"/>
      <c r="BS94" s="49"/>
    </row>
    <row r="95" ht="13.55" customHeight="1">
      <c r="A95" s="121"/>
      <c r="B95" s="123"/>
      <c r="C95" s="123"/>
      <c r="D95" s="123"/>
      <c r="E95" s="198"/>
      <c r="F95" s="198"/>
      <c r="G95" s="123"/>
      <c r="H95" s="123"/>
      <c r="I95" s="123"/>
      <c r="J95" s="123"/>
      <c r="K95" s="123"/>
      <c r="L95" s="123"/>
      <c r="M95" s="123"/>
      <c r="N95" s="123"/>
      <c r="O95" s="123"/>
      <c r="P95" s="123"/>
      <c r="Q95" s="123"/>
      <c r="R95" s="199"/>
      <c r="S95" s="199"/>
      <c r="T95" s="199"/>
      <c r="U95" s="199"/>
      <c r="V95" s="199"/>
      <c r="W95" s="199"/>
      <c r="X95" s="123"/>
      <c r="Y95" s="123"/>
      <c r="Z95" s="123"/>
      <c r="AA95" s="123"/>
      <c r="AB95" s="123"/>
      <c r="AC95" s="123"/>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c r="BR95" s="47"/>
      <c r="BS95" s="49"/>
    </row>
    <row r="96" ht="13.55" customHeight="1">
      <c r="A96" s="121"/>
      <c r="B96" s="123"/>
      <c r="C96" s="123"/>
      <c r="D96" s="123"/>
      <c r="E96" s="198"/>
      <c r="F96" s="198"/>
      <c r="G96" s="123"/>
      <c r="H96" s="123"/>
      <c r="I96" s="123"/>
      <c r="J96" s="123"/>
      <c r="K96" s="123"/>
      <c r="L96" s="123"/>
      <c r="M96" s="123"/>
      <c r="N96" s="123"/>
      <c r="O96" s="123"/>
      <c r="P96" s="123"/>
      <c r="Q96" s="123"/>
      <c r="R96" s="199"/>
      <c r="S96" s="199"/>
      <c r="T96" s="199"/>
      <c r="U96" s="199"/>
      <c r="V96" s="199"/>
      <c r="W96" s="199"/>
      <c r="X96" s="123"/>
      <c r="Y96" s="123"/>
      <c r="Z96" s="123"/>
      <c r="AA96" s="123"/>
      <c r="AB96" s="123"/>
      <c r="AC96" s="123"/>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c r="BF96" s="47"/>
      <c r="BG96" s="47"/>
      <c r="BH96" s="47"/>
      <c r="BI96" s="47"/>
      <c r="BJ96" s="47"/>
      <c r="BK96" s="47"/>
      <c r="BL96" s="47"/>
      <c r="BM96" s="47"/>
      <c r="BN96" s="47"/>
      <c r="BO96" s="47"/>
      <c r="BP96" s="47"/>
      <c r="BQ96" s="47"/>
      <c r="BR96" s="47"/>
      <c r="BS96" s="49"/>
    </row>
    <row r="97" ht="13.55" customHeight="1">
      <c r="A97" s="121"/>
      <c r="B97" s="123"/>
      <c r="C97" s="123"/>
      <c r="D97" s="123"/>
      <c r="E97" s="198"/>
      <c r="F97" s="198"/>
      <c r="G97" s="123"/>
      <c r="H97" s="123"/>
      <c r="I97" s="123"/>
      <c r="J97" s="123"/>
      <c r="K97" s="123"/>
      <c r="L97" s="123"/>
      <c r="M97" s="123"/>
      <c r="N97" s="123"/>
      <c r="O97" s="123"/>
      <c r="P97" s="123"/>
      <c r="Q97" s="123"/>
      <c r="R97" s="199"/>
      <c r="S97" s="199"/>
      <c r="T97" s="199"/>
      <c r="U97" s="199"/>
      <c r="V97" s="199"/>
      <c r="W97" s="199"/>
      <c r="X97" s="123"/>
      <c r="Y97" s="123"/>
      <c r="Z97" s="123"/>
      <c r="AA97" s="123"/>
      <c r="AB97" s="123"/>
      <c r="AC97" s="123"/>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7"/>
      <c r="BH97" s="47"/>
      <c r="BI97" s="47"/>
      <c r="BJ97" s="47"/>
      <c r="BK97" s="47"/>
      <c r="BL97" s="47"/>
      <c r="BM97" s="47"/>
      <c r="BN97" s="47"/>
      <c r="BO97" s="47"/>
      <c r="BP97" s="47"/>
      <c r="BQ97" s="47"/>
      <c r="BR97" s="47"/>
      <c r="BS97" s="49"/>
    </row>
    <row r="98" ht="13.55" customHeight="1">
      <c r="A98" s="121"/>
      <c r="B98" s="123"/>
      <c r="C98" s="123"/>
      <c r="D98" s="123"/>
      <c r="E98" s="198"/>
      <c r="F98" s="198"/>
      <c r="G98" s="123"/>
      <c r="H98" s="123"/>
      <c r="I98" s="123"/>
      <c r="J98" s="123"/>
      <c r="K98" s="123"/>
      <c r="L98" s="123"/>
      <c r="M98" s="123"/>
      <c r="N98" s="123"/>
      <c r="O98" s="123"/>
      <c r="P98" s="123"/>
      <c r="Q98" s="123"/>
      <c r="R98" s="199"/>
      <c r="S98" s="199"/>
      <c r="T98" s="199"/>
      <c r="U98" s="199"/>
      <c r="V98" s="199"/>
      <c r="W98" s="199"/>
      <c r="X98" s="123"/>
      <c r="Y98" s="123"/>
      <c r="Z98" s="123"/>
      <c r="AA98" s="123"/>
      <c r="AB98" s="123"/>
      <c r="AC98" s="123"/>
      <c r="AD98" s="47"/>
      <c r="AE98" s="47"/>
      <c r="AF98" s="47"/>
      <c r="AG98" s="47"/>
      <c r="AH98" s="47"/>
      <c r="AI98" s="47"/>
      <c r="AJ98" s="47"/>
      <c r="AK98" s="47"/>
      <c r="AL98" s="47"/>
      <c r="AM98" s="47"/>
      <c r="AN98" s="47"/>
      <c r="AO98" s="47"/>
      <c r="AP98" s="47"/>
      <c r="AQ98" s="47"/>
      <c r="AR98" s="47"/>
      <c r="AS98" s="47"/>
      <c r="AT98" s="47"/>
      <c r="AU98" s="47"/>
      <c r="AV98" s="47"/>
      <c r="AW98" s="47"/>
      <c r="AX98" s="47"/>
      <c r="AY98" s="47"/>
      <c r="AZ98" s="47"/>
      <c r="BA98" s="47"/>
      <c r="BB98" s="47"/>
      <c r="BC98" s="47"/>
      <c r="BD98" s="47"/>
      <c r="BE98" s="47"/>
      <c r="BF98" s="47"/>
      <c r="BG98" s="47"/>
      <c r="BH98" s="47"/>
      <c r="BI98" s="47"/>
      <c r="BJ98" s="47"/>
      <c r="BK98" s="47"/>
      <c r="BL98" s="47"/>
      <c r="BM98" s="47"/>
      <c r="BN98" s="47"/>
      <c r="BO98" s="47"/>
      <c r="BP98" s="47"/>
      <c r="BQ98" s="47"/>
      <c r="BR98" s="47"/>
      <c r="BS98" s="49"/>
    </row>
    <row r="99" ht="13.55" customHeight="1">
      <c r="A99" s="121"/>
      <c r="B99" s="123"/>
      <c r="C99" s="123"/>
      <c r="D99" s="123"/>
      <c r="E99" s="198"/>
      <c r="F99" s="198"/>
      <c r="G99" s="123"/>
      <c r="H99" s="123"/>
      <c r="I99" s="123"/>
      <c r="J99" s="123"/>
      <c r="K99" s="123"/>
      <c r="L99" s="123"/>
      <c r="M99" s="123"/>
      <c r="N99" s="123"/>
      <c r="O99" s="123"/>
      <c r="P99" s="123"/>
      <c r="Q99" s="123"/>
      <c r="R99" s="199"/>
      <c r="S99" s="199"/>
      <c r="T99" s="199"/>
      <c r="U99" s="199"/>
      <c r="V99" s="199"/>
      <c r="W99" s="199"/>
      <c r="X99" s="123"/>
      <c r="Y99" s="123"/>
      <c r="Z99" s="123"/>
      <c r="AA99" s="123"/>
      <c r="AB99" s="123"/>
      <c r="AC99" s="123"/>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c r="BF99" s="47"/>
      <c r="BG99" s="47"/>
      <c r="BH99" s="47"/>
      <c r="BI99" s="47"/>
      <c r="BJ99" s="47"/>
      <c r="BK99" s="47"/>
      <c r="BL99" s="47"/>
      <c r="BM99" s="47"/>
      <c r="BN99" s="47"/>
      <c r="BO99" s="47"/>
      <c r="BP99" s="47"/>
      <c r="BQ99" s="47"/>
      <c r="BR99" s="47"/>
      <c r="BS99" s="49"/>
    </row>
    <row r="100" ht="13.55" customHeight="1">
      <c r="A100" s="121"/>
      <c r="B100" s="123"/>
      <c r="C100" s="123"/>
      <c r="D100" s="123"/>
      <c r="E100" s="198"/>
      <c r="F100" s="198"/>
      <c r="G100" s="123"/>
      <c r="H100" s="123"/>
      <c r="I100" s="123"/>
      <c r="J100" s="123"/>
      <c r="K100" s="123"/>
      <c r="L100" s="123"/>
      <c r="M100" s="123"/>
      <c r="N100" s="123"/>
      <c r="O100" s="123"/>
      <c r="P100" s="123"/>
      <c r="Q100" s="123"/>
      <c r="R100" s="199"/>
      <c r="S100" s="199"/>
      <c r="T100" s="199"/>
      <c r="U100" s="199"/>
      <c r="V100" s="199"/>
      <c r="W100" s="199"/>
      <c r="X100" s="123"/>
      <c r="Y100" s="123"/>
      <c r="Z100" s="123"/>
      <c r="AA100" s="123"/>
      <c r="AB100" s="123"/>
      <c r="AC100" s="123"/>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7"/>
      <c r="BF100" s="47"/>
      <c r="BG100" s="47"/>
      <c r="BH100" s="47"/>
      <c r="BI100" s="47"/>
      <c r="BJ100" s="47"/>
      <c r="BK100" s="47"/>
      <c r="BL100" s="47"/>
      <c r="BM100" s="47"/>
      <c r="BN100" s="47"/>
      <c r="BO100" s="47"/>
      <c r="BP100" s="47"/>
      <c r="BQ100" s="47"/>
      <c r="BR100" s="47"/>
      <c r="BS100" s="49"/>
    </row>
    <row r="101" ht="13.55" customHeight="1">
      <c r="A101" s="121"/>
      <c r="B101" s="123"/>
      <c r="C101" s="123"/>
      <c r="D101" s="123"/>
      <c r="E101" s="198"/>
      <c r="F101" s="198"/>
      <c r="G101" s="123"/>
      <c r="H101" s="123"/>
      <c r="I101" s="123"/>
      <c r="J101" s="123"/>
      <c r="K101" s="123"/>
      <c r="L101" s="123"/>
      <c r="M101" s="123"/>
      <c r="N101" s="123"/>
      <c r="O101" s="123"/>
      <c r="P101" s="123"/>
      <c r="Q101" s="123"/>
      <c r="R101" s="199"/>
      <c r="S101" s="199"/>
      <c r="T101" s="199"/>
      <c r="U101" s="199"/>
      <c r="V101" s="199"/>
      <c r="W101" s="199"/>
      <c r="X101" s="123"/>
      <c r="Y101" s="123"/>
      <c r="Z101" s="123"/>
      <c r="AA101" s="123"/>
      <c r="AB101" s="123"/>
      <c r="AC101" s="123"/>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9"/>
    </row>
    <row r="102" ht="13.55" customHeight="1">
      <c r="A102" s="121"/>
      <c r="B102" s="123"/>
      <c r="C102" s="123"/>
      <c r="D102" s="123"/>
      <c r="E102" s="198"/>
      <c r="F102" s="198"/>
      <c r="G102" s="123"/>
      <c r="H102" s="123"/>
      <c r="I102" s="123"/>
      <c r="J102" s="123"/>
      <c r="K102" s="123"/>
      <c r="L102" s="123"/>
      <c r="M102" s="123"/>
      <c r="N102" s="123"/>
      <c r="O102" s="123"/>
      <c r="P102" s="123"/>
      <c r="Q102" s="123"/>
      <c r="R102" s="199"/>
      <c r="S102" s="199"/>
      <c r="T102" s="199"/>
      <c r="U102" s="199"/>
      <c r="V102" s="199"/>
      <c r="W102" s="199"/>
      <c r="X102" s="123"/>
      <c r="Y102" s="123"/>
      <c r="Z102" s="123"/>
      <c r="AA102" s="123"/>
      <c r="AB102" s="123"/>
      <c r="AC102" s="123"/>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N102" s="47"/>
      <c r="BO102" s="47"/>
      <c r="BP102" s="47"/>
      <c r="BQ102" s="47"/>
      <c r="BR102" s="47"/>
      <c r="BS102" s="49"/>
    </row>
    <row r="103" ht="13.55" customHeight="1">
      <c r="A103" s="121"/>
      <c r="B103" s="123"/>
      <c r="C103" s="123"/>
      <c r="D103" s="123"/>
      <c r="E103" s="198"/>
      <c r="F103" s="198"/>
      <c r="G103" s="123"/>
      <c r="H103" s="123"/>
      <c r="I103" s="123"/>
      <c r="J103" s="123"/>
      <c r="K103" s="123"/>
      <c r="L103" s="123"/>
      <c r="M103" s="123"/>
      <c r="N103" s="123"/>
      <c r="O103" s="123"/>
      <c r="P103" s="123"/>
      <c r="Q103" s="123"/>
      <c r="R103" s="199"/>
      <c r="S103" s="199"/>
      <c r="T103" s="199"/>
      <c r="U103" s="199"/>
      <c r="V103" s="199"/>
      <c r="W103" s="199"/>
      <c r="X103" s="123"/>
      <c r="Y103" s="123"/>
      <c r="Z103" s="123"/>
      <c r="AA103" s="123"/>
      <c r="AB103" s="123"/>
      <c r="AC103" s="123"/>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c r="BC103" s="47"/>
      <c r="BD103" s="47"/>
      <c r="BE103" s="47"/>
      <c r="BF103" s="47"/>
      <c r="BG103" s="47"/>
      <c r="BH103" s="47"/>
      <c r="BI103" s="47"/>
      <c r="BJ103" s="47"/>
      <c r="BK103" s="47"/>
      <c r="BL103" s="47"/>
      <c r="BM103" s="47"/>
      <c r="BN103" s="47"/>
      <c r="BO103" s="47"/>
      <c r="BP103" s="47"/>
      <c r="BQ103" s="47"/>
      <c r="BR103" s="47"/>
      <c r="BS103" s="49"/>
    </row>
    <row r="104" ht="13.55" customHeight="1">
      <c r="A104" s="121"/>
      <c r="B104" s="123"/>
      <c r="C104" s="123"/>
      <c r="D104" s="123"/>
      <c r="E104" s="198"/>
      <c r="F104" s="198"/>
      <c r="G104" s="123"/>
      <c r="H104" s="123"/>
      <c r="I104" s="123"/>
      <c r="J104" s="123"/>
      <c r="K104" s="123"/>
      <c r="L104" s="123"/>
      <c r="M104" s="123"/>
      <c r="N104" s="123"/>
      <c r="O104" s="123"/>
      <c r="P104" s="123"/>
      <c r="Q104" s="123"/>
      <c r="R104" s="199"/>
      <c r="S104" s="199"/>
      <c r="T104" s="199"/>
      <c r="U104" s="199"/>
      <c r="V104" s="199"/>
      <c r="W104" s="199"/>
      <c r="X104" s="123"/>
      <c r="Y104" s="123"/>
      <c r="Z104" s="123"/>
      <c r="AA104" s="123"/>
      <c r="AB104" s="123"/>
      <c r="AC104" s="123"/>
      <c r="AD104" s="47"/>
      <c r="AE104" s="47"/>
      <c r="AF104" s="47"/>
      <c r="AG104" s="47"/>
      <c r="AH104" s="47"/>
      <c r="AI104" s="47"/>
      <c r="AJ104" s="47"/>
      <c r="AK104" s="47"/>
      <c r="AL104" s="47"/>
      <c r="AM104" s="47"/>
      <c r="AN104" s="47"/>
      <c r="AO104" s="47"/>
      <c r="AP104" s="47"/>
      <c r="AQ104" s="47"/>
      <c r="AR104" s="47"/>
      <c r="AS104" s="47"/>
      <c r="AT104" s="47"/>
      <c r="AU104" s="47"/>
      <c r="AV104" s="47"/>
      <c r="AW104" s="47"/>
      <c r="AX104" s="47"/>
      <c r="AY104" s="47"/>
      <c r="AZ104" s="47"/>
      <c r="BA104" s="47"/>
      <c r="BB104" s="47"/>
      <c r="BC104" s="47"/>
      <c r="BD104" s="47"/>
      <c r="BE104" s="47"/>
      <c r="BF104" s="47"/>
      <c r="BG104" s="47"/>
      <c r="BH104" s="47"/>
      <c r="BI104" s="47"/>
      <c r="BJ104" s="47"/>
      <c r="BK104" s="47"/>
      <c r="BL104" s="47"/>
      <c r="BM104" s="47"/>
      <c r="BN104" s="47"/>
      <c r="BO104" s="47"/>
      <c r="BP104" s="47"/>
      <c r="BQ104" s="47"/>
      <c r="BR104" s="47"/>
      <c r="BS104" s="49"/>
    </row>
    <row r="105" ht="13.55" customHeight="1">
      <c r="A105" s="121"/>
      <c r="B105" s="123"/>
      <c r="C105" s="123"/>
      <c r="D105" s="123"/>
      <c r="E105" s="198"/>
      <c r="F105" s="198"/>
      <c r="G105" s="123"/>
      <c r="H105" s="123"/>
      <c r="I105" s="123"/>
      <c r="J105" s="123"/>
      <c r="K105" s="123"/>
      <c r="L105" s="123"/>
      <c r="M105" s="123"/>
      <c r="N105" s="123"/>
      <c r="O105" s="123"/>
      <c r="P105" s="123"/>
      <c r="Q105" s="123"/>
      <c r="R105" s="199"/>
      <c r="S105" s="199"/>
      <c r="T105" s="199"/>
      <c r="U105" s="199"/>
      <c r="V105" s="199"/>
      <c r="W105" s="199"/>
      <c r="X105" s="123"/>
      <c r="Y105" s="123"/>
      <c r="Z105" s="123"/>
      <c r="AA105" s="123"/>
      <c r="AB105" s="123"/>
      <c r="AC105" s="123"/>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c r="BC105" s="47"/>
      <c r="BD105" s="47"/>
      <c r="BE105" s="47"/>
      <c r="BF105" s="47"/>
      <c r="BG105" s="47"/>
      <c r="BH105" s="47"/>
      <c r="BI105" s="47"/>
      <c r="BJ105" s="47"/>
      <c r="BK105" s="47"/>
      <c r="BL105" s="47"/>
      <c r="BM105" s="47"/>
      <c r="BN105" s="47"/>
      <c r="BO105" s="47"/>
      <c r="BP105" s="47"/>
      <c r="BQ105" s="47"/>
      <c r="BR105" s="47"/>
      <c r="BS105" s="49"/>
    </row>
    <row r="106" ht="13.55" customHeight="1">
      <c r="A106" s="121"/>
      <c r="B106" s="123"/>
      <c r="C106" s="123"/>
      <c r="D106" s="123"/>
      <c r="E106" s="198"/>
      <c r="F106" s="198"/>
      <c r="G106" s="123"/>
      <c r="H106" s="123"/>
      <c r="I106" s="123"/>
      <c r="J106" s="123"/>
      <c r="K106" s="123"/>
      <c r="L106" s="123"/>
      <c r="M106" s="123"/>
      <c r="N106" s="123"/>
      <c r="O106" s="123"/>
      <c r="P106" s="123"/>
      <c r="Q106" s="123"/>
      <c r="R106" s="199"/>
      <c r="S106" s="199"/>
      <c r="T106" s="199"/>
      <c r="U106" s="199"/>
      <c r="V106" s="199"/>
      <c r="W106" s="199"/>
      <c r="X106" s="123"/>
      <c r="Y106" s="123"/>
      <c r="Z106" s="123"/>
      <c r="AA106" s="123"/>
      <c r="AB106" s="123"/>
      <c r="AC106" s="123"/>
      <c r="AD106" s="47"/>
      <c r="AE106" s="47"/>
      <c r="AF106" s="47"/>
      <c r="AG106" s="47"/>
      <c r="AH106" s="47"/>
      <c r="AI106" s="47"/>
      <c r="AJ106" s="47"/>
      <c r="AK106" s="47"/>
      <c r="AL106" s="47"/>
      <c r="AM106" s="47"/>
      <c r="AN106" s="47"/>
      <c r="AO106" s="47"/>
      <c r="AP106" s="47"/>
      <c r="AQ106" s="47"/>
      <c r="AR106" s="47"/>
      <c r="AS106" s="47"/>
      <c r="AT106" s="47"/>
      <c r="AU106" s="47"/>
      <c r="AV106" s="47"/>
      <c r="AW106" s="47"/>
      <c r="AX106" s="47"/>
      <c r="AY106" s="47"/>
      <c r="AZ106" s="47"/>
      <c r="BA106" s="47"/>
      <c r="BB106" s="47"/>
      <c r="BC106" s="47"/>
      <c r="BD106" s="47"/>
      <c r="BE106" s="47"/>
      <c r="BF106" s="47"/>
      <c r="BG106" s="47"/>
      <c r="BH106" s="47"/>
      <c r="BI106" s="47"/>
      <c r="BJ106" s="47"/>
      <c r="BK106" s="47"/>
      <c r="BL106" s="47"/>
      <c r="BM106" s="47"/>
      <c r="BN106" s="47"/>
      <c r="BO106" s="47"/>
      <c r="BP106" s="47"/>
      <c r="BQ106" s="47"/>
      <c r="BR106" s="47"/>
      <c r="BS106" s="49"/>
    </row>
    <row r="107" ht="13.55" customHeight="1">
      <c r="A107" s="121"/>
      <c r="B107" s="123"/>
      <c r="C107" s="123"/>
      <c r="D107" s="123"/>
      <c r="E107" s="198"/>
      <c r="F107" s="198"/>
      <c r="G107" s="123"/>
      <c r="H107" s="123"/>
      <c r="I107" s="123"/>
      <c r="J107" s="123"/>
      <c r="K107" s="123"/>
      <c r="L107" s="123"/>
      <c r="M107" s="123"/>
      <c r="N107" s="123"/>
      <c r="O107" s="123"/>
      <c r="P107" s="123"/>
      <c r="Q107" s="123"/>
      <c r="R107" s="199"/>
      <c r="S107" s="199"/>
      <c r="T107" s="199"/>
      <c r="U107" s="199"/>
      <c r="V107" s="199"/>
      <c r="W107" s="199"/>
      <c r="X107" s="123"/>
      <c r="Y107" s="123"/>
      <c r="Z107" s="123"/>
      <c r="AA107" s="123"/>
      <c r="AB107" s="123"/>
      <c r="AC107" s="123"/>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9"/>
    </row>
    <row r="108" ht="13.55" customHeight="1">
      <c r="A108" s="121"/>
      <c r="B108" s="123"/>
      <c r="C108" s="123"/>
      <c r="D108" s="123"/>
      <c r="E108" s="198"/>
      <c r="F108" s="198"/>
      <c r="G108" s="123"/>
      <c r="H108" s="123"/>
      <c r="I108" s="123"/>
      <c r="J108" s="123"/>
      <c r="K108" s="123"/>
      <c r="L108" s="123"/>
      <c r="M108" s="123"/>
      <c r="N108" s="123"/>
      <c r="O108" s="123"/>
      <c r="P108" s="123"/>
      <c r="Q108" s="123"/>
      <c r="R108" s="199"/>
      <c r="S108" s="199"/>
      <c r="T108" s="199"/>
      <c r="U108" s="199"/>
      <c r="V108" s="199"/>
      <c r="W108" s="199"/>
      <c r="X108" s="123"/>
      <c r="Y108" s="123"/>
      <c r="Z108" s="123"/>
      <c r="AA108" s="123"/>
      <c r="AB108" s="123"/>
      <c r="AC108" s="123"/>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c r="AZ108" s="47"/>
      <c r="BA108" s="47"/>
      <c r="BB108" s="47"/>
      <c r="BC108" s="47"/>
      <c r="BD108" s="47"/>
      <c r="BE108" s="47"/>
      <c r="BF108" s="47"/>
      <c r="BG108" s="47"/>
      <c r="BH108" s="47"/>
      <c r="BI108" s="47"/>
      <c r="BJ108" s="47"/>
      <c r="BK108" s="47"/>
      <c r="BL108" s="47"/>
      <c r="BM108" s="47"/>
      <c r="BN108" s="47"/>
      <c r="BO108" s="47"/>
      <c r="BP108" s="47"/>
      <c r="BQ108" s="47"/>
      <c r="BR108" s="47"/>
      <c r="BS108" s="49"/>
    </row>
    <row r="109" ht="13.55" customHeight="1">
      <c r="A109" s="121"/>
      <c r="B109" s="123"/>
      <c r="C109" s="123"/>
      <c r="D109" s="123"/>
      <c r="E109" s="198"/>
      <c r="F109" s="198"/>
      <c r="G109" s="123"/>
      <c r="H109" s="123"/>
      <c r="I109" s="123"/>
      <c r="J109" s="123"/>
      <c r="K109" s="123"/>
      <c r="L109" s="123"/>
      <c r="M109" s="123"/>
      <c r="N109" s="123"/>
      <c r="O109" s="123"/>
      <c r="P109" s="123"/>
      <c r="Q109" s="123"/>
      <c r="R109" s="199"/>
      <c r="S109" s="199"/>
      <c r="T109" s="199"/>
      <c r="U109" s="199"/>
      <c r="V109" s="199"/>
      <c r="W109" s="199"/>
      <c r="X109" s="123"/>
      <c r="Y109" s="123"/>
      <c r="Z109" s="123"/>
      <c r="AA109" s="123"/>
      <c r="AB109" s="123"/>
      <c r="AC109" s="123"/>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c r="BF109" s="47"/>
      <c r="BG109" s="47"/>
      <c r="BH109" s="47"/>
      <c r="BI109" s="47"/>
      <c r="BJ109" s="47"/>
      <c r="BK109" s="47"/>
      <c r="BL109" s="47"/>
      <c r="BM109" s="47"/>
      <c r="BN109" s="47"/>
      <c r="BO109" s="47"/>
      <c r="BP109" s="47"/>
      <c r="BQ109" s="47"/>
      <c r="BR109" s="47"/>
      <c r="BS109" s="49"/>
    </row>
    <row r="110" ht="13.55" customHeight="1">
      <c r="A110" s="121"/>
      <c r="B110" s="123"/>
      <c r="C110" s="123"/>
      <c r="D110" s="123"/>
      <c r="E110" s="198"/>
      <c r="F110" s="198"/>
      <c r="G110" s="123"/>
      <c r="H110" s="123"/>
      <c r="I110" s="123"/>
      <c r="J110" s="123"/>
      <c r="K110" s="123"/>
      <c r="L110" s="123"/>
      <c r="M110" s="123"/>
      <c r="N110" s="123"/>
      <c r="O110" s="123"/>
      <c r="P110" s="123"/>
      <c r="Q110" s="123"/>
      <c r="R110" s="199"/>
      <c r="S110" s="199"/>
      <c r="T110" s="199"/>
      <c r="U110" s="199"/>
      <c r="V110" s="199"/>
      <c r="W110" s="199"/>
      <c r="X110" s="123"/>
      <c r="Y110" s="123"/>
      <c r="Z110" s="123"/>
      <c r="AA110" s="123"/>
      <c r="AB110" s="123"/>
      <c r="AC110" s="123"/>
      <c r="AD110" s="47"/>
      <c r="AE110" s="47"/>
      <c r="AF110" s="47"/>
      <c r="AG110" s="47"/>
      <c r="AH110" s="47"/>
      <c r="AI110" s="47"/>
      <c r="AJ110" s="47"/>
      <c r="AK110" s="47"/>
      <c r="AL110" s="47"/>
      <c r="AM110" s="47"/>
      <c r="AN110" s="47"/>
      <c r="AO110" s="47"/>
      <c r="AP110" s="47"/>
      <c r="AQ110" s="47"/>
      <c r="AR110" s="47"/>
      <c r="AS110" s="47"/>
      <c r="AT110" s="47"/>
      <c r="AU110" s="47"/>
      <c r="AV110" s="47"/>
      <c r="AW110" s="47"/>
      <c r="AX110" s="47"/>
      <c r="AY110" s="47"/>
      <c r="AZ110" s="47"/>
      <c r="BA110" s="47"/>
      <c r="BB110" s="47"/>
      <c r="BC110" s="47"/>
      <c r="BD110" s="47"/>
      <c r="BE110" s="47"/>
      <c r="BF110" s="47"/>
      <c r="BG110" s="47"/>
      <c r="BH110" s="47"/>
      <c r="BI110" s="47"/>
      <c r="BJ110" s="47"/>
      <c r="BK110" s="47"/>
      <c r="BL110" s="47"/>
      <c r="BM110" s="47"/>
      <c r="BN110" s="47"/>
      <c r="BO110" s="47"/>
      <c r="BP110" s="47"/>
      <c r="BQ110" s="47"/>
      <c r="BR110" s="47"/>
      <c r="BS110" s="49"/>
    </row>
    <row r="111" ht="13.55" customHeight="1">
      <c r="A111" s="121"/>
      <c r="B111" s="123"/>
      <c r="C111" s="123"/>
      <c r="D111" s="123"/>
      <c r="E111" s="198"/>
      <c r="F111" s="198"/>
      <c r="G111" s="123"/>
      <c r="H111" s="123"/>
      <c r="I111" s="123"/>
      <c r="J111" s="123"/>
      <c r="K111" s="123"/>
      <c r="L111" s="123"/>
      <c r="M111" s="123"/>
      <c r="N111" s="123"/>
      <c r="O111" s="123"/>
      <c r="P111" s="123"/>
      <c r="Q111" s="123"/>
      <c r="R111" s="199"/>
      <c r="S111" s="199"/>
      <c r="T111" s="199"/>
      <c r="U111" s="199"/>
      <c r="V111" s="199"/>
      <c r="W111" s="199"/>
      <c r="X111" s="123"/>
      <c r="Y111" s="123"/>
      <c r="Z111" s="123"/>
      <c r="AA111" s="123"/>
      <c r="AB111" s="123"/>
      <c r="AC111" s="123"/>
      <c r="AD111" s="47"/>
      <c r="AE111" s="47"/>
      <c r="AF111" s="47"/>
      <c r="AG111" s="47"/>
      <c r="AH111" s="47"/>
      <c r="AI111" s="47"/>
      <c r="AJ111" s="47"/>
      <c r="AK111" s="47"/>
      <c r="AL111" s="47"/>
      <c r="AM111" s="47"/>
      <c r="AN111" s="47"/>
      <c r="AO111" s="47"/>
      <c r="AP111" s="47"/>
      <c r="AQ111" s="47"/>
      <c r="AR111" s="47"/>
      <c r="AS111" s="47"/>
      <c r="AT111" s="47"/>
      <c r="AU111" s="47"/>
      <c r="AV111" s="47"/>
      <c r="AW111" s="47"/>
      <c r="AX111" s="47"/>
      <c r="AY111" s="47"/>
      <c r="AZ111" s="47"/>
      <c r="BA111" s="47"/>
      <c r="BB111" s="47"/>
      <c r="BC111" s="47"/>
      <c r="BD111" s="47"/>
      <c r="BE111" s="47"/>
      <c r="BF111" s="47"/>
      <c r="BG111" s="47"/>
      <c r="BH111" s="47"/>
      <c r="BI111" s="47"/>
      <c r="BJ111" s="47"/>
      <c r="BK111" s="47"/>
      <c r="BL111" s="47"/>
      <c r="BM111" s="47"/>
      <c r="BN111" s="47"/>
      <c r="BO111" s="47"/>
      <c r="BP111" s="47"/>
      <c r="BQ111" s="47"/>
      <c r="BR111" s="47"/>
      <c r="BS111" s="49"/>
    </row>
    <row r="112" ht="13.55" customHeight="1">
      <c r="A112" s="121"/>
      <c r="B112" s="123"/>
      <c r="C112" s="123"/>
      <c r="D112" s="123"/>
      <c r="E112" s="198"/>
      <c r="F112" s="198"/>
      <c r="G112" s="123"/>
      <c r="H112" s="123"/>
      <c r="I112" s="123"/>
      <c r="J112" s="123"/>
      <c r="K112" s="123"/>
      <c r="L112" s="123"/>
      <c r="M112" s="123"/>
      <c r="N112" s="123"/>
      <c r="O112" s="123"/>
      <c r="P112" s="123"/>
      <c r="Q112" s="123"/>
      <c r="R112" s="199"/>
      <c r="S112" s="199"/>
      <c r="T112" s="199"/>
      <c r="U112" s="199"/>
      <c r="V112" s="199"/>
      <c r="W112" s="199"/>
      <c r="X112" s="123"/>
      <c r="Y112" s="123"/>
      <c r="Z112" s="123"/>
      <c r="AA112" s="123"/>
      <c r="AB112" s="123"/>
      <c r="AC112" s="123"/>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47"/>
      <c r="AZ112" s="47"/>
      <c r="BA112" s="47"/>
      <c r="BB112" s="47"/>
      <c r="BC112" s="47"/>
      <c r="BD112" s="47"/>
      <c r="BE112" s="47"/>
      <c r="BF112" s="47"/>
      <c r="BG112" s="47"/>
      <c r="BH112" s="47"/>
      <c r="BI112" s="47"/>
      <c r="BJ112" s="47"/>
      <c r="BK112" s="47"/>
      <c r="BL112" s="47"/>
      <c r="BM112" s="47"/>
      <c r="BN112" s="47"/>
      <c r="BO112" s="47"/>
      <c r="BP112" s="47"/>
      <c r="BQ112" s="47"/>
      <c r="BR112" s="47"/>
      <c r="BS112" s="49"/>
    </row>
    <row r="113" ht="13.55" customHeight="1">
      <c r="A113" s="121"/>
      <c r="B113" s="123"/>
      <c r="C113" s="123"/>
      <c r="D113" s="123"/>
      <c r="E113" s="198"/>
      <c r="F113" s="198"/>
      <c r="G113" s="123"/>
      <c r="H113" s="123"/>
      <c r="I113" s="123"/>
      <c r="J113" s="123"/>
      <c r="K113" s="123"/>
      <c r="L113" s="123"/>
      <c r="M113" s="123"/>
      <c r="N113" s="123"/>
      <c r="O113" s="123"/>
      <c r="P113" s="123"/>
      <c r="Q113" s="123"/>
      <c r="R113" s="199"/>
      <c r="S113" s="199"/>
      <c r="T113" s="199"/>
      <c r="U113" s="199"/>
      <c r="V113" s="199"/>
      <c r="W113" s="199"/>
      <c r="X113" s="123"/>
      <c r="Y113" s="123"/>
      <c r="Z113" s="123"/>
      <c r="AA113" s="123"/>
      <c r="AB113" s="123"/>
      <c r="AC113" s="123"/>
      <c r="AD113" s="47"/>
      <c r="AE113" s="47"/>
      <c r="AF113" s="47"/>
      <c r="AG113" s="47"/>
      <c r="AH113" s="47"/>
      <c r="AI113" s="47"/>
      <c r="AJ113" s="47"/>
      <c r="AK113" s="47"/>
      <c r="AL113" s="47"/>
      <c r="AM113" s="47"/>
      <c r="AN113" s="47"/>
      <c r="AO113" s="47"/>
      <c r="AP113" s="47"/>
      <c r="AQ113" s="47"/>
      <c r="AR113" s="47"/>
      <c r="AS113" s="47"/>
      <c r="AT113" s="47"/>
      <c r="AU113" s="47"/>
      <c r="AV113" s="47"/>
      <c r="AW113" s="47"/>
      <c r="AX113" s="47"/>
      <c r="AY113" s="47"/>
      <c r="AZ113" s="47"/>
      <c r="BA113" s="47"/>
      <c r="BB113" s="47"/>
      <c r="BC113" s="47"/>
      <c r="BD113" s="47"/>
      <c r="BE113" s="47"/>
      <c r="BF113" s="47"/>
      <c r="BG113" s="47"/>
      <c r="BH113" s="47"/>
      <c r="BI113" s="47"/>
      <c r="BJ113" s="47"/>
      <c r="BK113" s="47"/>
      <c r="BL113" s="47"/>
      <c r="BM113" s="47"/>
      <c r="BN113" s="47"/>
      <c r="BO113" s="47"/>
      <c r="BP113" s="47"/>
      <c r="BQ113" s="47"/>
      <c r="BR113" s="47"/>
      <c r="BS113" s="49"/>
    </row>
    <row r="114" ht="13.55" customHeight="1">
      <c r="A114" s="121"/>
      <c r="B114" s="123"/>
      <c r="C114" s="123"/>
      <c r="D114" s="123"/>
      <c r="E114" s="198"/>
      <c r="F114" s="198"/>
      <c r="G114" s="123"/>
      <c r="H114" s="123"/>
      <c r="I114" s="123"/>
      <c r="J114" s="123"/>
      <c r="K114" s="123"/>
      <c r="L114" s="123"/>
      <c r="M114" s="123"/>
      <c r="N114" s="123"/>
      <c r="O114" s="123"/>
      <c r="P114" s="123"/>
      <c r="Q114" s="123"/>
      <c r="R114" s="199"/>
      <c r="S114" s="199"/>
      <c r="T114" s="199"/>
      <c r="U114" s="199"/>
      <c r="V114" s="199"/>
      <c r="W114" s="199"/>
      <c r="X114" s="123"/>
      <c r="Y114" s="123"/>
      <c r="Z114" s="123"/>
      <c r="AA114" s="123"/>
      <c r="AB114" s="123"/>
      <c r="AC114" s="123"/>
      <c r="AD114" s="47"/>
      <c r="AE114" s="47"/>
      <c r="AF114" s="47"/>
      <c r="AG114" s="47"/>
      <c r="AH114" s="47"/>
      <c r="AI114" s="47"/>
      <c r="AJ114" s="47"/>
      <c r="AK114" s="47"/>
      <c r="AL114" s="47"/>
      <c r="AM114" s="47"/>
      <c r="AN114" s="47"/>
      <c r="AO114" s="47"/>
      <c r="AP114" s="47"/>
      <c r="AQ114" s="47"/>
      <c r="AR114" s="47"/>
      <c r="AS114" s="47"/>
      <c r="AT114" s="47"/>
      <c r="AU114" s="47"/>
      <c r="AV114" s="47"/>
      <c r="AW114" s="47"/>
      <c r="AX114" s="47"/>
      <c r="AY114" s="47"/>
      <c r="AZ114" s="47"/>
      <c r="BA114" s="47"/>
      <c r="BB114" s="47"/>
      <c r="BC114" s="47"/>
      <c r="BD114" s="47"/>
      <c r="BE114" s="47"/>
      <c r="BF114" s="47"/>
      <c r="BG114" s="47"/>
      <c r="BH114" s="47"/>
      <c r="BI114" s="47"/>
      <c r="BJ114" s="47"/>
      <c r="BK114" s="47"/>
      <c r="BL114" s="47"/>
      <c r="BM114" s="47"/>
      <c r="BN114" s="47"/>
      <c r="BO114" s="47"/>
      <c r="BP114" s="47"/>
      <c r="BQ114" s="47"/>
      <c r="BR114" s="47"/>
      <c r="BS114" s="49"/>
    </row>
    <row r="115" ht="13.55" customHeight="1">
      <c r="A115" s="121"/>
      <c r="B115" s="123"/>
      <c r="C115" s="123"/>
      <c r="D115" s="123"/>
      <c r="E115" s="198"/>
      <c r="F115" s="198"/>
      <c r="G115" s="123"/>
      <c r="H115" s="123"/>
      <c r="I115" s="123"/>
      <c r="J115" s="123"/>
      <c r="K115" s="123"/>
      <c r="L115" s="123"/>
      <c r="M115" s="123"/>
      <c r="N115" s="123"/>
      <c r="O115" s="123"/>
      <c r="P115" s="123"/>
      <c r="Q115" s="123"/>
      <c r="R115" s="199"/>
      <c r="S115" s="199"/>
      <c r="T115" s="199"/>
      <c r="U115" s="199"/>
      <c r="V115" s="199"/>
      <c r="W115" s="199"/>
      <c r="X115" s="123"/>
      <c r="Y115" s="123"/>
      <c r="Z115" s="123"/>
      <c r="AA115" s="123"/>
      <c r="AB115" s="123"/>
      <c r="AC115" s="123"/>
      <c r="AD115" s="47"/>
      <c r="AE115" s="47"/>
      <c r="AF115" s="47"/>
      <c r="AG115" s="47"/>
      <c r="AH115" s="47"/>
      <c r="AI115" s="47"/>
      <c r="AJ115" s="47"/>
      <c r="AK115" s="47"/>
      <c r="AL115" s="47"/>
      <c r="AM115" s="47"/>
      <c r="AN115" s="47"/>
      <c r="AO115" s="47"/>
      <c r="AP115" s="47"/>
      <c r="AQ115" s="47"/>
      <c r="AR115" s="47"/>
      <c r="AS115" s="47"/>
      <c r="AT115" s="47"/>
      <c r="AU115" s="47"/>
      <c r="AV115" s="47"/>
      <c r="AW115" s="47"/>
      <c r="AX115" s="47"/>
      <c r="AY115" s="47"/>
      <c r="AZ115" s="47"/>
      <c r="BA115" s="47"/>
      <c r="BB115" s="47"/>
      <c r="BC115" s="47"/>
      <c r="BD115" s="47"/>
      <c r="BE115" s="47"/>
      <c r="BF115" s="47"/>
      <c r="BG115" s="47"/>
      <c r="BH115" s="47"/>
      <c r="BI115" s="47"/>
      <c r="BJ115" s="47"/>
      <c r="BK115" s="47"/>
      <c r="BL115" s="47"/>
      <c r="BM115" s="47"/>
      <c r="BN115" s="47"/>
      <c r="BO115" s="47"/>
      <c r="BP115" s="47"/>
      <c r="BQ115" s="47"/>
      <c r="BR115" s="47"/>
      <c r="BS115" s="49"/>
    </row>
    <row r="116" ht="13.55" customHeight="1">
      <c r="A116" s="121"/>
      <c r="B116" s="123"/>
      <c r="C116" s="123"/>
      <c r="D116" s="123"/>
      <c r="E116" s="198"/>
      <c r="F116" s="198"/>
      <c r="G116" s="123"/>
      <c r="H116" s="123"/>
      <c r="I116" s="123"/>
      <c r="J116" s="123"/>
      <c r="K116" s="123"/>
      <c r="L116" s="123"/>
      <c r="M116" s="123"/>
      <c r="N116" s="123"/>
      <c r="O116" s="123"/>
      <c r="P116" s="123"/>
      <c r="Q116" s="123"/>
      <c r="R116" s="199"/>
      <c r="S116" s="199"/>
      <c r="T116" s="199"/>
      <c r="U116" s="199"/>
      <c r="V116" s="199"/>
      <c r="W116" s="199"/>
      <c r="X116" s="123"/>
      <c r="Y116" s="123"/>
      <c r="Z116" s="123"/>
      <c r="AA116" s="123"/>
      <c r="AB116" s="123"/>
      <c r="AC116" s="123"/>
      <c r="AD116" s="47"/>
      <c r="AE116" s="47"/>
      <c r="AF116" s="47"/>
      <c r="AG116" s="47"/>
      <c r="AH116" s="47"/>
      <c r="AI116" s="47"/>
      <c r="AJ116" s="47"/>
      <c r="AK116" s="47"/>
      <c r="AL116" s="47"/>
      <c r="AM116" s="47"/>
      <c r="AN116" s="47"/>
      <c r="AO116" s="47"/>
      <c r="AP116" s="47"/>
      <c r="AQ116" s="47"/>
      <c r="AR116" s="47"/>
      <c r="AS116" s="47"/>
      <c r="AT116" s="47"/>
      <c r="AU116" s="47"/>
      <c r="AV116" s="47"/>
      <c r="AW116" s="47"/>
      <c r="AX116" s="47"/>
      <c r="AY116" s="47"/>
      <c r="AZ116" s="47"/>
      <c r="BA116" s="47"/>
      <c r="BB116" s="47"/>
      <c r="BC116" s="47"/>
      <c r="BD116" s="47"/>
      <c r="BE116" s="47"/>
      <c r="BF116" s="47"/>
      <c r="BG116" s="47"/>
      <c r="BH116" s="47"/>
      <c r="BI116" s="47"/>
      <c r="BJ116" s="47"/>
      <c r="BK116" s="47"/>
      <c r="BL116" s="47"/>
      <c r="BM116" s="47"/>
      <c r="BN116" s="47"/>
      <c r="BO116" s="47"/>
      <c r="BP116" s="47"/>
      <c r="BQ116" s="47"/>
      <c r="BR116" s="47"/>
      <c r="BS116" s="49"/>
    </row>
    <row r="117" ht="13.55" customHeight="1">
      <c r="A117" s="121"/>
      <c r="B117" s="123"/>
      <c r="C117" s="123"/>
      <c r="D117" s="123"/>
      <c r="E117" s="198"/>
      <c r="F117" s="198"/>
      <c r="G117" s="123"/>
      <c r="H117" s="123"/>
      <c r="I117" s="123"/>
      <c r="J117" s="123"/>
      <c r="K117" s="123"/>
      <c r="L117" s="123"/>
      <c r="M117" s="123"/>
      <c r="N117" s="123"/>
      <c r="O117" s="123"/>
      <c r="P117" s="123"/>
      <c r="Q117" s="123"/>
      <c r="R117" s="199"/>
      <c r="S117" s="199"/>
      <c r="T117" s="199"/>
      <c r="U117" s="199"/>
      <c r="V117" s="199"/>
      <c r="W117" s="199"/>
      <c r="X117" s="123"/>
      <c r="Y117" s="123"/>
      <c r="Z117" s="123"/>
      <c r="AA117" s="123"/>
      <c r="AB117" s="123"/>
      <c r="AC117" s="123"/>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47"/>
      <c r="AZ117" s="47"/>
      <c r="BA117" s="47"/>
      <c r="BB117" s="47"/>
      <c r="BC117" s="47"/>
      <c r="BD117" s="47"/>
      <c r="BE117" s="47"/>
      <c r="BF117" s="47"/>
      <c r="BG117" s="47"/>
      <c r="BH117" s="47"/>
      <c r="BI117" s="47"/>
      <c r="BJ117" s="47"/>
      <c r="BK117" s="47"/>
      <c r="BL117" s="47"/>
      <c r="BM117" s="47"/>
      <c r="BN117" s="47"/>
      <c r="BO117" s="47"/>
      <c r="BP117" s="47"/>
      <c r="BQ117" s="47"/>
      <c r="BR117" s="47"/>
      <c r="BS117" s="49"/>
    </row>
    <row r="118" ht="13.55" customHeight="1">
      <c r="A118" s="121"/>
      <c r="B118" s="123"/>
      <c r="C118" s="123"/>
      <c r="D118" s="123"/>
      <c r="E118" s="198"/>
      <c r="F118" s="198"/>
      <c r="G118" s="123"/>
      <c r="H118" s="123"/>
      <c r="I118" s="123"/>
      <c r="J118" s="123"/>
      <c r="K118" s="123"/>
      <c r="L118" s="123"/>
      <c r="M118" s="123"/>
      <c r="N118" s="123"/>
      <c r="O118" s="123"/>
      <c r="P118" s="123"/>
      <c r="Q118" s="123"/>
      <c r="R118" s="199"/>
      <c r="S118" s="199"/>
      <c r="T118" s="199"/>
      <c r="U118" s="199"/>
      <c r="V118" s="199"/>
      <c r="W118" s="199"/>
      <c r="X118" s="123"/>
      <c r="Y118" s="123"/>
      <c r="Z118" s="123"/>
      <c r="AA118" s="123"/>
      <c r="AB118" s="123"/>
      <c r="AC118" s="123"/>
      <c r="AD118" s="47"/>
      <c r="AE118" s="47"/>
      <c r="AF118" s="47"/>
      <c r="AG118" s="47"/>
      <c r="AH118" s="47"/>
      <c r="AI118" s="47"/>
      <c r="AJ118" s="47"/>
      <c r="AK118" s="47"/>
      <c r="AL118" s="47"/>
      <c r="AM118" s="47"/>
      <c r="AN118" s="47"/>
      <c r="AO118" s="47"/>
      <c r="AP118" s="47"/>
      <c r="AQ118" s="47"/>
      <c r="AR118" s="47"/>
      <c r="AS118" s="47"/>
      <c r="AT118" s="47"/>
      <c r="AU118" s="47"/>
      <c r="AV118" s="47"/>
      <c r="AW118" s="47"/>
      <c r="AX118" s="47"/>
      <c r="AY118" s="47"/>
      <c r="AZ118" s="47"/>
      <c r="BA118" s="47"/>
      <c r="BB118" s="47"/>
      <c r="BC118" s="47"/>
      <c r="BD118" s="47"/>
      <c r="BE118" s="47"/>
      <c r="BF118" s="47"/>
      <c r="BG118" s="47"/>
      <c r="BH118" s="47"/>
      <c r="BI118" s="47"/>
      <c r="BJ118" s="47"/>
      <c r="BK118" s="47"/>
      <c r="BL118" s="47"/>
      <c r="BM118" s="47"/>
      <c r="BN118" s="47"/>
      <c r="BO118" s="47"/>
      <c r="BP118" s="47"/>
      <c r="BQ118" s="47"/>
      <c r="BR118" s="47"/>
      <c r="BS118" s="49"/>
    </row>
    <row r="119" ht="13.55" customHeight="1">
      <c r="A119" s="121"/>
      <c r="B119" s="123"/>
      <c r="C119" s="123"/>
      <c r="D119" s="123"/>
      <c r="E119" s="198"/>
      <c r="F119" s="198"/>
      <c r="G119" s="123"/>
      <c r="H119" s="123"/>
      <c r="I119" s="123"/>
      <c r="J119" s="123"/>
      <c r="K119" s="123"/>
      <c r="L119" s="123"/>
      <c r="M119" s="123"/>
      <c r="N119" s="123"/>
      <c r="O119" s="123"/>
      <c r="P119" s="123"/>
      <c r="Q119" s="123"/>
      <c r="R119" s="199"/>
      <c r="S119" s="199"/>
      <c r="T119" s="199"/>
      <c r="U119" s="199"/>
      <c r="V119" s="199"/>
      <c r="W119" s="199"/>
      <c r="X119" s="123"/>
      <c r="Y119" s="123"/>
      <c r="Z119" s="123"/>
      <c r="AA119" s="123"/>
      <c r="AB119" s="123"/>
      <c r="AC119" s="123"/>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47"/>
      <c r="BF119" s="47"/>
      <c r="BG119" s="47"/>
      <c r="BH119" s="47"/>
      <c r="BI119" s="47"/>
      <c r="BJ119" s="47"/>
      <c r="BK119" s="47"/>
      <c r="BL119" s="47"/>
      <c r="BM119" s="47"/>
      <c r="BN119" s="47"/>
      <c r="BO119" s="47"/>
      <c r="BP119" s="47"/>
      <c r="BQ119" s="47"/>
      <c r="BR119" s="47"/>
      <c r="BS119" s="49"/>
    </row>
    <row r="120" ht="13.55" customHeight="1">
      <c r="A120" s="121"/>
      <c r="B120" s="123"/>
      <c r="C120" s="123"/>
      <c r="D120" s="123"/>
      <c r="E120" s="198"/>
      <c r="F120" s="198"/>
      <c r="G120" s="123"/>
      <c r="H120" s="123"/>
      <c r="I120" s="123"/>
      <c r="J120" s="123"/>
      <c r="K120" s="123"/>
      <c r="L120" s="123"/>
      <c r="M120" s="123"/>
      <c r="N120" s="123"/>
      <c r="O120" s="123"/>
      <c r="P120" s="123"/>
      <c r="Q120" s="123"/>
      <c r="R120" s="199"/>
      <c r="S120" s="199"/>
      <c r="T120" s="199"/>
      <c r="U120" s="199"/>
      <c r="V120" s="199"/>
      <c r="W120" s="199"/>
      <c r="X120" s="123"/>
      <c r="Y120" s="123"/>
      <c r="Z120" s="123"/>
      <c r="AA120" s="123"/>
      <c r="AB120" s="123"/>
      <c r="AC120" s="123"/>
      <c r="AD120" s="47"/>
      <c r="AE120" s="47"/>
      <c r="AF120" s="47"/>
      <c r="AG120" s="47"/>
      <c r="AH120" s="47"/>
      <c r="AI120" s="47"/>
      <c r="AJ120" s="47"/>
      <c r="AK120" s="47"/>
      <c r="AL120" s="47"/>
      <c r="AM120" s="47"/>
      <c r="AN120" s="47"/>
      <c r="AO120" s="47"/>
      <c r="AP120" s="47"/>
      <c r="AQ120" s="47"/>
      <c r="AR120" s="47"/>
      <c r="AS120" s="47"/>
      <c r="AT120" s="47"/>
      <c r="AU120" s="47"/>
      <c r="AV120" s="47"/>
      <c r="AW120" s="47"/>
      <c r="AX120" s="47"/>
      <c r="AY120" s="47"/>
      <c r="AZ120" s="47"/>
      <c r="BA120" s="47"/>
      <c r="BB120" s="47"/>
      <c r="BC120" s="47"/>
      <c r="BD120" s="47"/>
      <c r="BE120" s="47"/>
      <c r="BF120" s="47"/>
      <c r="BG120" s="47"/>
      <c r="BH120" s="47"/>
      <c r="BI120" s="47"/>
      <c r="BJ120" s="47"/>
      <c r="BK120" s="47"/>
      <c r="BL120" s="47"/>
      <c r="BM120" s="47"/>
      <c r="BN120" s="47"/>
      <c r="BO120" s="47"/>
      <c r="BP120" s="47"/>
      <c r="BQ120" s="47"/>
      <c r="BR120" s="47"/>
      <c r="BS120" s="49"/>
    </row>
    <row r="121" ht="13.55" customHeight="1">
      <c r="A121" s="121"/>
      <c r="B121" s="123"/>
      <c r="C121" s="123"/>
      <c r="D121" s="123"/>
      <c r="E121" s="198"/>
      <c r="F121" s="198"/>
      <c r="G121" s="123"/>
      <c r="H121" s="123"/>
      <c r="I121" s="123"/>
      <c r="J121" s="123"/>
      <c r="K121" s="123"/>
      <c r="L121" s="123"/>
      <c r="M121" s="123"/>
      <c r="N121" s="123"/>
      <c r="O121" s="123"/>
      <c r="P121" s="123"/>
      <c r="Q121" s="123"/>
      <c r="R121" s="199"/>
      <c r="S121" s="199"/>
      <c r="T121" s="199"/>
      <c r="U121" s="199"/>
      <c r="V121" s="199"/>
      <c r="W121" s="199"/>
      <c r="X121" s="123"/>
      <c r="Y121" s="123"/>
      <c r="Z121" s="123"/>
      <c r="AA121" s="123"/>
      <c r="AB121" s="123"/>
      <c r="AC121" s="123"/>
      <c r="AD121" s="47"/>
      <c r="AE121" s="47"/>
      <c r="AF121" s="47"/>
      <c r="AG121" s="47"/>
      <c r="AH121" s="47"/>
      <c r="AI121" s="47"/>
      <c r="AJ121" s="47"/>
      <c r="AK121" s="47"/>
      <c r="AL121" s="47"/>
      <c r="AM121" s="47"/>
      <c r="AN121" s="47"/>
      <c r="AO121" s="47"/>
      <c r="AP121" s="47"/>
      <c r="AQ121" s="47"/>
      <c r="AR121" s="47"/>
      <c r="AS121" s="47"/>
      <c r="AT121" s="47"/>
      <c r="AU121" s="47"/>
      <c r="AV121" s="47"/>
      <c r="AW121" s="47"/>
      <c r="AX121" s="47"/>
      <c r="AY121" s="47"/>
      <c r="AZ121" s="47"/>
      <c r="BA121" s="47"/>
      <c r="BB121" s="47"/>
      <c r="BC121" s="47"/>
      <c r="BD121" s="47"/>
      <c r="BE121" s="47"/>
      <c r="BF121" s="47"/>
      <c r="BG121" s="47"/>
      <c r="BH121" s="47"/>
      <c r="BI121" s="47"/>
      <c r="BJ121" s="47"/>
      <c r="BK121" s="47"/>
      <c r="BL121" s="47"/>
      <c r="BM121" s="47"/>
      <c r="BN121" s="47"/>
      <c r="BO121" s="47"/>
      <c r="BP121" s="47"/>
      <c r="BQ121" s="47"/>
      <c r="BR121" s="47"/>
      <c r="BS121" s="49"/>
    </row>
    <row r="122" ht="13.55" customHeight="1">
      <c r="A122" s="121"/>
      <c r="B122" s="123"/>
      <c r="C122" s="123"/>
      <c r="D122" s="123"/>
      <c r="E122" s="198"/>
      <c r="F122" s="198"/>
      <c r="G122" s="123"/>
      <c r="H122" s="123"/>
      <c r="I122" s="123"/>
      <c r="J122" s="123"/>
      <c r="K122" s="123"/>
      <c r="L122" s="123"/>
      <c r="M122" s="123"/>
      <c r="N122" s="123"/>
      <c r="O122" s="123"/>
      <c r="P122" s="123"/>
      <c r="Q122" s="123"/>
      <c r="R122" s="199"/>
      <c r="S122" s="199"/>
      <c r="T122" s="199"/>
      <c r="U122" s="199"/>
      <c r="V122" s="199"/>
      <c r="W122" s="199"/>
      <c r="X122" s="123"/>
      <c r="Y122" s="123"/>
      <c r="Z122" s="123"/>
      <c r="AA122" s="123"/>
      <c r="AB122" s="123"/>
      <c r="AC122" s="123"/>
      <c r="AD122" s="47"/>
      <c r="AE122" s="47"/>
      <c r="AF122" s="47"/>
      <c r="AG122" s="47"/>
      <c r="AH122" s="47"/>
      <c r="AI122" s="47"/>
      <c r="AJ122" s="47"/>
      <c r="AK122" s="47"/>
      <c r="AL122" s="47"/>
      <c r="AM122" s="47"/>
      <c r="AN122" s="47"/>
      <c r="AO122" s="47"/>
      <c r="AP122" s="47"/>
      <c r="AQ122" s="47"/>
      <c r="AR122" s="47"/>
      <c r="AS122" s="47"/>
      <c r="AT122" s="47"/>
      <c r="AU122" s="47"/>
      <c r="AV122" s="47"/>
      <c r="AW122" s="47"/>
      <c r="AX122" s="47"/>
      <c r="AY122" s="47"/>
      <c r="AZ122" s="47"/>
      <c r="BA122" s="47"/>
      <c r="BB122" s="47"/>
      <c r="BC122" s="47"/>
      <c r="BD122" s="47"/>
      <c r="BE122" s="47"/>
      <c r="BF122" s="47"/>
      <c r="BG122" s="47"/>
      <c r="BH122" s="47"/>
      <c r="BI122" s="47"/>
      <c r="BJ122" s="47"/>
      <c r="BK122" s="47"/>
      <c r="BL122" s="47"/>
      <c r="BM122" s="47"/>
      <c r="BN122" s="47"/>
      <c r="BO122" s="47"/>
      <c r="BP122" s="47"/>
      <c r="BQ122" s="47"/>
      <c r="BR122" s="47"/>
      <c r="BS122" s="49"/>
    </row>
    <row r="123" ht="13.55" customHeight="1">
      <c r="A123" s="121"/>
      <c r="B123" s="123"/>
      <c r="C123" s="123"/>
      <c r="D123" s="123"/>
      <c r="E123" s="198"/>
      <c r="F123" s="198"/>
      <c r="G123" s="123"/>
      <c r="H123" s="123"/>
      <c r="I123" s="123"/>
      <c r="J123" s="123"/>
      <c r="K123" s="123"/>
      <c r="L123" s="123"/>
      <c r="M123" s="123"/>
      <c r="N123" s="123"/>
      <c r="O123" s="123"/>
      <c r="P123" s="123"/>
      <c r="Q123" s="123"/>
      <c r="R123" s="199"/>
      <c r="S123" s="199"/>
      <c r="T123" s="199"/>
      <c r="U123" s="199"/>
      <c r="V123" s="199"/>
      <c r="W123" s="199"/>
      <c r="X123" s="123"/>
      <c r="Y123" s="123"/>
      <c r="Z123" s="123"/>
      <c r="AA123" s="123"/>
      <c r="AB123" s="123"/>
      <c r="AC123" s="123"/>
      <c r="AD123" s="47"/>
      <c r="AE123" s="47"/>
      <c r="AF123" s="47"/>
      <c r="AG123" s="47"/>
      <c r="AH123" s="47"/>
      <c r="AI123" s="47"/>
      <c r="AJ123" s="47"/>
      <c r="AK123" s="47"/>
      <c r="AL123" s="47"/>
      <c r="AM123" s="47"/>
      <c r="AN123" s="47"/>
      <c r="AO123" s="47"/>
      <c r="AP123" s="47"/>
      <c r="AQ123" s="47"/>
      <c r="AR123" s="47"/>
      <c r="AS123" s="47"/>
      <c r="AT123" s="47"/>
      <c r="AU123" s="47"/>
      <c r="AV123" s="47"/>
      <c r="AW123" s="47"/>
      <c r="AX123" s="47"/>
      <c r="AY123" s="47"/>
      <c r="AZ123" s="47"/>
      <c r="BA123" s="47"/>
      <c r="BB123" s="47"/>
      <c r="BC123" s="47"/>
      <c r="BD123" s="47"/>
      <c r="BE123" s="47"/>
      <c r="BF123" s="47"/>
      <c r="BG123" s="47"/>
      <c r="BH123" s="47"/>
      <c r="BI123" s="47"/>
      <c r="BJ123" s="47"/>
      <c r="BK123" s="47"/>
      <c r="BL123" s="47"/>
      <c r="BM123" s="47"/>
      <c r="BN123" s="47"/>
      <c r="BO123" s="47"/>
      <c r="BP123" s="47"/>
      <c r="BQ123" s="47"/>
      <c r="BR123" s="47"/>
      <c r="BS123" s="49"/>
    </row>
    <row r="124" ht="13.55" customHeight="1">
      <c r="A124" s="121"/>
      <c r="B124" s="123"/>
      <c r="C124" s="123"/>
      <c r="D124" s="123"/>
      <c r="E124" s="198"/>
      <c r="F124" s="198"/>
      <c r="G124" s="123"/>
      <c r="H124" s="123"/>
      <c r="I124" s="123"/>
      <c r="J124" s="123"/>
      <c r="K124" s="123"/>
      <c r="L124" s="123"/>
      <c r="M124" s="123"/>
      <c r="N124" s="123"/>
      <c r="O124" s="123"/>
      <c r="P124" s="123"/>
      <c r="Q124" s="123"/>
      <c r="R124" s="199"/>
      <c r="S124" s="199"/>
      <c r="T124" s="199"/>
      <c r="U124" s="199"/>
      <c r="V124" s="199"/>
      <c r="W124" s="199"/>
      <c r="X124" s="123"/>
      <c r="Y124" s="123"/>
      <c r="Z124" s="123"/>
      <c r="AA124" s="123"/>
      <c r="AB124" s="123"/>
      <c r="AC124" s="123"/>
      <c r="AD124" s="47"/>
      <c r="AE124" s="47"/>
      <c r="AF124" s="47"/>
      <c r="AG124" s="47"/>
      <c r="AH124" s="47"/>
      <c r="AI124" s="47"/>
      <c r="AJ124" s="47"/>
      <c r="AK124" s="47"/>
      <c r="AL124" s="47"/>
      <c r="AM124" s="47"/>
      <c r="AN124" s="47"/>
      <c r="AO124" s="47"/>
      <c r="AP124" s="47"/>
      <c r="AQ124" s="47"/>
      <c r="AR124" s="47"/>
      <c r="AS124" s="47"/>
      <c r="AT124" s="47"/>
      <c r="AU124" s="47"/>
      <c r="AV124" s="47"/>
      <c r="AW124" s="47"/>
      <c r="AX124" s="47"/>
      <c r="AY124" s="47"/>
      <c r="AZ124" s="47"/>
      <c r="BA124" s="47"/>
      <c r="BB124" s="47"/>
      <c r="BC124" s="47"/>
      <c r="BD124" s="47"/>
      <c r="BE124" s="47"/>
      <c r="BF124" s="47"/>
      <c r="BG124" s="47"/>
      <c r="BH124" s="47"/>
      <c r="BI124" s="47"/>
      <c r="BJ124" s="47"/>
      <c r="BK124" s="47"/>
      <c r="BL124" s="47"/>
      <c r="BM124" s="47"/>
      <c r="BN124" s="47"/>
      <c r="BO124" s="47"/>
      <c r="BP124" s="47"/>
      <c r="BQ124" s="47"/>
      <c r="BR124" s="47"/>
      <c r="BS124" s="49"/>
    </row>
    <row r="125" ht="13.55" customHeight="1">
      <c r="A125" s="121"/>
      <c r="B125" s="123"/>
      <c r="C125" s="123"/>
      <c r="D125" s="123"/>
      <c r="E125" s="198"/>
      <c r="F125" s="198"/>
      <c r="G125" s="123"/>
      <c r="H125" s="123"/>
      <c r="I125" s="123"/>
      <c r="J125" s="123"/>
      <c r="K125" s="123"/>
      <c r="L125" s="123"/>
      <c r="M125" s="123"/>
      <c r="N125" s="123"/>
      <c r="O125" s="123"/>
      <c r="P125" s="123"/>
      <c r="Q125" s="123"/>
      <c r="R125" s="199"/>
      <c r="S125" s="199"/>
      <c r="T125" s="199"/>
      <c r="U125" s="199"/>
      <c r="V125" s="199"/>
      <c r="W125" s="199"/>
      <c r="X125" s="123"/>
      <c r="Y125" s="123"/>
      <c r="Z125" s="123"/>
      <c r="AA125" s="123"/>
      <c r="AB125" s="123"/>
      <c r="AC125" s="123"/>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7"/>
      <c r="BH125" s="47"/>
      <c r="BI125" s="47"/>
      <c r="BJ125" s="47"/>
      <c r="BK125" s="47"/>
      <c r="BL125" s="47"/>
      <c r="BM125" s="47"/>
      <c r="BN125" s="47"/>
      <c r="BO125" s="47"/>
      <c r="BP125" s="47"/>
      <c r="BQ125" s="47"/>
      <c r="BR125" s="47"/>
      <c r="BS125" s="49"/>
    </row>
    <row r="126" ht="13.55" customHeight="1">
      <c r="A126" s="121"/>
      <c r="B126" s="123"/>
      <c r="C126" s="123"/>
      <c r="D126" s="123"/>
      <c r="E126" s="198"/>
      <c r="F126" s="198"/>
      <c r="G126" s="123"/>
      <c r="H126" s="123"/>
      <c r="I126" s="123"/>
      <c r="J126" s="123"/>
      <c r="K126" s="123"/>
      <c r="L126" s="123"/>
      <c r="M126" s="123"/>
      <c r="N126" s="123"/>
      <c r="O126" s="123"/>
      <c r="P126" s="123"/>
      <c r="Q126" s="123"/>
      <c r="R126" s="199"/>
      <c r="S126" s="199"/>
      <c r="T126" s="199"/>
      <c r="U126" s="199"/>
      <c r="V126" s="199"/>
      <c r="W126" s="199"/>
      <c r="X126" s="123"/>
      <c r="Y126" s="123"/>
      <c r="Z126" s="123"/>
      <c r="AA126" s="123"/>
      <c r="AB126" s="123"/>
      <c r="AC126" s="123"/>
      <c r="AD126" s="47"/>
      <c r="AE126" s="47"/>
      <c r="AF126" s="47"/>
      <c r="AG126" s="47"/>
      <c r="AH126" s="47"/>
      <c r="AI126" s="47"/>
      <c r="AJ126" s="47"/>
      <c r="AK126" s="47"/>
      <c r="AL126" s="47"/>
      <c r="AM126" s="47"/>
      <c r="AN126" s="47"/>
      <c r="AO126" s="47"/>
      <c r="AP126" s="47"/>
      <c r="AQ126" s="47"/>
      <c r="AR126" s="47"/>
      <c r="AS126" s="47"/>
      <c r="AT126" s="47"/>
      <c r="AU126" s="47"/>
      <c r="AV126" s="47"/>
      <c r="AW126" s="47"/>
      <c r="AX126" s="47"/>
      <c r="AY126" s="47"/>
      <c r="AZ126" s="47"/>
      <c r="BA126" s="47"/>
      <c r="BB126" s="47"/>
      <c r="BC126" s="47"/>
      <c r="BD126" s="47"/>
      <c r="BE126" s="47"/>
      <c r="BF126" s="47"/>
      <c r="BG126" s="47"/>
      <c r="BH126" s="47"/>
      <c r="BI126" s="47"/>
      <c r="BJ126" s="47"/>
      <c r="BK126" s="47"/>
      <c r="BL126" s="47"/>
      <c r="BM126" s="47"/>
      <c r="BN126" s="47"/>
      <c r="BO126" s="47"/>
      <c r="BP126" s="47"/>
      <c r="BQ126" s="47"/>
      <c r="BR126" s="47"/>
      <c r="BS126" s="49"/>
    </row>
    <row r="127" ht="13.55" customHeight="1">
      <c r="A127" s="121"/>
      <c r="B127" s="123"/>
      <c r="C127" s="123"/>
      <c r="D127" s="123"/>
      <c r="E127" s="198"/>
      <c r="F127" s="198"/>
      <c r="G127" s="123"/>
      <c r="H127" s="123"/>
      <c r="I127" s="123"/>
      <c r="J127" s="123"/>
      <c r="K127" s="123"/>
      <c r="L127" s="123"/>
      <c r="M127" s="123"/>
      <c r="N127" s="123"/>
      <c r="O127" s="123"/>
      <c r="P127" s="123"/>
      <c r="Q127" s="123"/>
      <c r="R127" s="199"/>
      <c r="S127" s="199"/>
      <c r="T127" s="199"/>
      <c r="U127" s="199"/>
      <c r="V127" s="199"/>
      <c r="W127" s="199"/>
      <c r="X127" s="123"/>
      <c r="Y127" s="123"/>
      <c r="Z127" s="123"/>
      <c r="AA127" s="123"/>
      <c r="AB127" s="123"/>
      <c r="AC127" s="123"/>
      <c r="AD127" s="47"/>
      <c r="AE127" s="47"/>
      <c r="AF127" s="47"/>
      <c r="AG127" s="47"/>
      <c r="AH127" s="47"/>
      <c r="AI127" s="47"/>
      <c r="AJ127" s="47"/>
      <c r="AK127" s="47"/>
      <c r="AL127" s="47"/>
      <c r="AM127" s="47"/>
      <c r="AN127" s="47"/>
      <c r="AO127" s="47"/>
      <c r="AP127" s="47"/>
      <c r="AQ127" s="47"/>
      <c r="AR127" s="47"/>
      <c r="AS127" s="47"/>
      <c r="AT127" s="47"/>
      <c r="AU127" s="47"/>
      <c r="AV127" s="47"/>
      <c r="AW127" s="47"/>
      <c r="AX127" s="47"/>
      <c r="AY127" s="47"/>
      <c r="AZ127" s="47"/>
      <c r="BA127" s="47"/>
      <c r="BB127" s="47"/>
      <c r="BC127" s="47"/>
      <c r="BD127" s="47"/>
      <c r="BE127" s="47"/>
      <c r="BF127" s="47"/>
      <c r="BG127" s="47"/>
      <c r="BH127" s="47"/>
      <c r="BI127" s="47"/>
      <c r="BJ127" s="47"/>
      <c r="BK127" s="47"/>
      <c r="BL127" s="47"/>
      <c r="BM127" s="47"/>
      <c r="BN127" s="47"/>
      <c r="BO127" s="47"/>
      <c r="BP127" s="47"/>
      <c r="BQ127" s="47"/>
      <c r="BR127" s="47"/>
      <c r="BS127" s="49"/>
    </row>
    <row r="128" ht="13.55" customHeight="1">
      <c r="A128" s="121"/>
      <c r="B128" s="123"/>
      <c r="C128" s="123"/>
      <c r="D128" s="123"/>
      <c r="E128" s="198"/>
      <c r="F128" s="198"/>
      <c r="G128" s="123"/>
      <c r="H128" s="123"/>
      <c r="I128" s="123"/>
      <c r="J128" s="123"/>
      <c r="K128" s="123"/>
      <c r="L128" s="123"/>
      <c r="M128" s="123"/>
      <c r="N128" s="123"/>
      <c r="O128" s="123"/>
      <c r="P128" s="123"/>
      <c r="Q128" s="123"/>
      <c r="R128" s="199"/>
      <c r="S128" s="199"/>
      <c r="T128" s="199"/>
      <c r="U128" s="199"/>
      <c r="V128" s="199"/>
      <c r="W128" s="199"/>
      <c r="X128" s="123"/>
      <c r="Y128" s="123"/>
      <c r="Z128" s="123"/>
      <c r="AA128" s="123"/>
      <c r="AB128" s="123"/>
      <c r="AC128" s="123"/>
      <c r="AD128" s="47"/>
      <c r="AE128" s="47"/>
      <c r="AF128" s="47"/>
      <c r="AG128" s="47"/>
      <c r="AH128" s="47"/>
      <c r="AI128" s="47"/>
      <c r="AJ128" s="47"/>
      <c r="AK128" s="47"/>
      <c r="AL128" s="47"/>
      <c r="AM128" s="47"/>
      <c r="AN128" s="47"/>
      <c r="AO128" s="47"/>
      <c r="AP128" s="47"/>
      <c r="AQ128" s="47"/>
      <c r="AR128" s="47"/>
      <c r="AS128" s="47"/>
      <c r="AT128" s="47"/>
      <c r="AU128" s="47"/>
      <c r="AV128" s="47"/>
      <c r="AW128" s="47"/>
      <c r="AX128" s="47"/>
      <c r="AY128" s="47"/>
      <c r="AZ128" s="47"/>
      <c r="BA128" s="47"/>
      <c r="BB128" s="47"/>
      <c r="BC128" s="47"/>
      <c r="BD128" s="47"/>
      <c r="BE128" s="47"/>
      <c r="BF128" s="47"/>
      <c r="BG128" s="47"/>
      <c r="BH128" s="47"/>
      <c r="BI128" s="47"/>
      <c r="BJ128" s="47"/>
      <c r="BK128" s="47"/>
      <c r="BL128" s="47"/>
      <c r="BM128" s="47"/>
      <c r="BN128" s="47"/>
      <c r="BO128" s="47"/>
      <c r="BP128" s="47"/>
      <c r="BQ128" s="47"/>
      <c r="BR128" s="47"/>
      <c r="BS128" s="49"/>
    </row>
    <row r="129" ht="13.55" customHeight="1">
      <c r="A129" s="121"/>
      <c r="B129" s="123"/>
      <c r="C129" s="123"/>
      <c r="D129" s="123"/>
      <c r="E129" s="198"/>
      <c r="F129" s="198"/>
      <c r="G129" s="123"/>
      <c r="H129" s="123"/>
      <c r="I129" s="123"/>
      <c r="J129" s="123"/>
      <c r="K129" s="123"/>
      <c r="L129" s="123"/>
      <c r="M129" s="123"/>
      <c r="N129" s="123"/>
      <c r="O129" s="123"/>
      <c r="P129" s="123"/>
      <c r="Q129" s="123"/>
      <c r="R129" s="199"/>
      <c r="S129" s="199"/>
      <c r="T129" s="199"/>
      <c r="U129" s="199"/>
      <c r="V129" s="199"/>
      <c r="W129" s="199"/>
      <c r="X129" s="123"/>
      <c r="Y129" s="123"/>
      <c r="Z129" s="123"/>
      <c r="AA129" s="123"/>
      <c r="AB129" s="123"/>
      <c r="AC129" s="123"/>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47"/>
      <c r="AZ129" s="47"/>
      <c r="BA129" s="47"/>
      <c r="BB129" s="47"/>
      <c r="BC129" s="47"/>
      <c r="BD129" s="47"/>
      <c r="BE129" s="47"/>
      <c r="BF129" s="47"/>
      <c r="BG129" s="47"/>
      <c r="BH129" s="47"/>
      <c r="BI129" s="47"/>
      <c r="BJ129" s="47"/>
      <c r="BK129" s="47"/>
      <c r="BL129" s="47"/>
      <c r="BM129" s="47"/>
      <c r="BN129" s="47"/>
      <c r="BO129" s="47"/>
      <c r="BP129" s="47"/>
      <c r="BQ129" s="47"/>
      <c r="BR129" s="47"/>
      <c r="BS129" s="49"/>
    </row>
    <row r="130" ht="13.55" customHeight="1">
      <c r="A130" s="121"/>
      <c r="B130" s="123"/>
      <c r="C130" s="123"/>
      <c r="D130" s="123"/>
      <c r="E130" s="198"/>
      <c r="F130" s="198"/>
      <c r="G130" s="123"/>
      <c r="H130" s="123"/>
      <c r="I130" s="123"/>
      <c r="J130" s="123"/>
      <c r="K130" s="123"/>
      <c r="L130" s="123"/>
      <c r="M130" s="123"/>
      <c r="N130" s="123"/>
      <c r="O130" s="123"/>
      <c r="P130" s="123"/>
      <c r="Q130" s="123"/>
      <c r="R130" s="199"/>
      <c r="S130" s="199"/>
      <c r="T130" s="199"/>
      <c r="U130" s="199"/>
      <c r="V130" s="199"/>
      <c r="W130" s="199"/>
      <c r="X130" s="123"/>
      <c r="Y130" s="123"/>
      <c r="Z130" s="123"/>
      <c r="AA130" s="123"/>
      <c r="AB130" s="123"/>
      <c r="AC130" s="123"/>
      <c r="AD130" s="47"/>
      <c r="AE130" s="47"/>
      <c r="AF130" s="47"/>
      <c r="AG130" s="47"/>
      <c r="AH130" s="47"/>
      <c r="AI130" s="47"/>
      <c r="AJ130" s="47"/>
      <c r="AK130" s="47"/>
      <c r="AL130" s="47"/>
      <c r="AM130" s="47"/>
      <c r="AN130" s="47"/>
      <c r="AO130" s="47"/>
      <c r="AP130" s="47"/>
      <c r="AQ130" s="47"/>
      <c r="AR130" s="47"/>
      <c r="AS130" s="47"/>
      <c r="AT130" s="47"/>
      <c r="AU130" s="47"/>
      <c r="AV130" s="47"/>
      <c r="AW130" s="47"/>
      <c r="AX130" s="47"/>
      <c r="AY130" s="47"/>
      <c r="AZ130" s="47"/>
      <c r="BA130" s="47"/>
      <c r="BB130" s="47"/>
      <c r="BC130" s="47"/>
      <c r="BD130" s="47"/>
      <c r="BE130" s="47"/>
      <c r="BF130" s="47"/>
      <c r="BG130" s="47"/>
      <c r="BH130" s="47"/>
      <c r="BI130" s="47"/>
      <c r="BJ130" s="47"/>
      <c r="BK130" s="47"/>
      <c r="BL130" s="47"/>
      <c r="BM130" s="47"/>
      <c r="BN130" s="47"/>
      <c r="BO130" s="47"/>
      <c r="BP130" s="47"/>
      <c r="BQ130" s="47"/>
      <c r="BR130" s="47"/>
      <c r="BS130" s="49"/>
    </row>
    <row r="131" ht="13.55" customHeight="1">
      <c r="A131" s="121"/>
      <c r="B131" s="123"/>
      <c r="C131" s="123"/>
      <c r="D131" s="123"/>
      <c r="E131" s="198"/>
      <c r="F131" s="198"/>
      <c r="G131" s="123"/>
      <c r="H131" s="123"/>
      <c r="I131" s="123"/>
      <c r="J131" s="123"/>
      <c r="K131" s="123"/>
      <c r="L131" s="123"/>
      <c r="M131" s="123"/>
      <c r="N131" s="123"/>
      <c r="O131" s="123"/>
      <c r="P131" s="123"/>
      <c r="Q131" s="123"/>
      <c r="R131" s="199"/>
      <c r="S131" s="199"/>
      <c r="T131" s="199"/>
      <c r="U131" s="199"/>
      <c r="V131" s="199"/>
      <c r="W131" s="199"/>
      <c r="X131" s="123"/>
      <c r="Y131" s="123"/>
      <c r="Z131" s="123"/>
      <c r="AA131" s="123"/>
      <c r="AB131" s="123"/>
      <c r="AC131" s="123"/>
      <c r="AD131" s="47"/>
      <c r="AE131" s="47"/>
      <c r="AF131" s="47"/>
      <c r="AG131" s="47"/>
      <c r="AH131" s="47"/>
      <c r="AI131" s="47"/>
      <c r="AJ131" s="47"/>
      <c r="AK131" s="47"/>
      <c r="AL131" s="47"/>
      <c r="AM131" s="47"/>
      <c r="AN131" s="47"/>
      <c r="AO131" s="47"/>
      <c r="AP131" s="47"/>
      <c r="AQ131" s="47"/>
      <c r="AR131" s="47"/>
      <c r="AS131" s="47"/>
      <c r="AT131" s="47"/>
      <c r="AU131" s="47"/>
      <c r="AV131" s="47"/>
      <c r="AW131" s="47"/>
      <c r="AX131" s="47"/>
      <c r="AY131" s="47"/>
      <c r="AZ131" s="47"/>
      <c r="BA131" s="47"/>
      <c r="BB131" s="47"/>
      <c r="BC131" s="47"/>
      <c r="BD131" s="47"/>
      <c r="BE131" s="47"/>
      <c r="BF131" s="47"/>
      <c r="BG131" s="47"/>
      <c r="BH131" s="47"/>
      <c r="BI131" s="47"/>
      <c r="BJ131" s="47"/>
      <c r="BK131" s="47"/>
      <c r="BL131" s="47"/>
      <c r="BM131" s="47"/>
      <c r="BN131" s="47"/>
      <c r="BO131" s="47"/>
      <c r="BP131" s="47"/>
      <c r="BQ131" s="47"/>
      <c r="BR131" s="47"/>
      <c r="BS131" s="49"/>
    </row>
    <row r="132" ht="13.55" customHeight="1">
      <c r="A132" s="121"/>
      <c r="B132" s="123"/>
      <c r="C132" s="123"/>
      <c r="D132" s="123"/>
      <c r="E132" s="198"/>
      <c r="F132" s="198"/>
      <c r="G132" s="123"/>
      <c r="H132" s="123"/>
      <c r="I132" s="123"/>
      <c r="J132" s="123"/>
      <c r="K132" s="123"/>
      <c r="L132" s="123"/>
      <c r="M132" s="123"/>
      <c r="N132" s="123"/>
      <c r="O132" s="123"/>
      <c r="P132" s="123"/>
      <c r="Q132" s="123"/>
      <c r="R132" s="199"/>
      <c r="S132" s="199"/>
      <c r="T132" s="199"/>
      <c r="U132" s="199"/>
      <c r="V132" s="199"/>
      <c r="W132" s="199"/>
      <c r="X132" s="123"/>
      <c r="Y132" s="123"/>
      <c r="Z132" s="123"/>
      <c r="AA132" s="123"/>
      <c r="AB132" s="123"/>
      <c r="AC132" s="123"/>
      <c r="AD132" s="47"/>
      <c r="AE132" s="47"/>
      <c r="AF132" s="47"/>
      <c r="AG132" s="47"/>
      <c r="AH132" s="47"/>
      <c r="AI132" s="47"/>
      <c r="AJ132" s="47"/>
      <c r="AK132" s="47"/>
      <c r="AL132" s="47"/>
      <c r="AM132" s="47"/>
      <c r="AN132" s="47"/>
      <c r="AO132" s="47"/>
      <c r="AP132" s="47"/>
      <c r="AQ132" s="47"/>
      <c r="AR132" s="47"/>
      <c r="AS132" s="47"/>
      <c r="AT132" s="47"/>
      <c r="AU132" s="47"/>
      <c r="AV132" s="47"/>
      <c r="AW132" s="47"/>
      <c r="AX132" s="47"/>
      <c r="AY132" s="47"/>
      <c r="AZ132" s="47"/>
      <c r="BA132" s="47"/>
      <c r="BB132" s="47"/>
      <c r="BC132" s="47"/>
      <c r="BD132" s="47"/>
      <c r="BE132" s="47"/>
      <c r="BF132" s="47"/>
      <c r="BG132" s="47"/>
      <c r="BH132" s="47"/>
      <c r="BI132" s="47"/>
      <c r="BJ132" s="47"/>
      <c r="BK132" s="47"/>
      <c r="BL132" s="47"/>
      <c r="BM132" s="47"/>
      <c r="BN132" s="47"/>
      <c r="BO132" s="47"/>
      <c r="BP132" s="47"/>
      <c r="BQ132" s="47"/>
      <c r="BR132" s="47"/>
      <c r="BS132" s="49"/>
    </row>
    <row r="133" ht="13.55" customHeight="1">
      <c r="A133" s="121"/>
      <c r="B133" s="123"/>
      <c r="C133" s="123"/>
      <c r="D133" s="123"/>
      <c r="E133" s="198"/>
      <c r="F133" s="198"/>
      <c r="G133" s="123"/>
      <c r="H133" s="123"/>
      <c r="I133" s="123"/>
      <c r="J133" s="123"/>
      <c r="K133" s="123"/>
      <c r="L133" s="123"/>
      <c r="M133" s="123"/>
      <c r="N133" s="123"/>
      <c r="O133" s="123"/>
      <c r="P133" s="123"/>
      <c r="Q133" s="123"/>
      <c r="R133" s="199"/>
      <c r="S133" s="199"/>
      <c r="T133" s="199"/>
      <c r="U133" s="199"/>
      <c r="V133" s="199"/>
      <c r="W133" s="199"/>
      <c r="X133" s="123"/>
      <c r="Y133" s="123"/>
      <c r="Z133" s="123"/>
      <c r="AA133" s="123"/>
      <c r="AB133" s="123"/>
      <c r="AC133" s="123"/>
      <c r="AD133" s="47"/>
      <c r="AE133" s="47"/>
      <c r="AF133" s="47"/>
      <c r="AG133" s="47"/>
      <c r="AH133" s="47"/>
      <c r="AI133" s="47"/>
      <c r="AJ133" s="47"/>
      <c r="AK133" s="47"/>
      <c r="AL133" s="47"/>
      <c r="AM133" s="47"/>
      <c r="AN133" s="47"/>
      <c r="AO133" s="47"/>
      <c r="AP133" s="47"/>
      <c r="AQ133" s="47"/>
      <c r="AR133" s="47"/>
      <c r="AS133" s="47"/>
      <c r="AT133" s="47"/>
      <c r="AU133" s="47"/>
      <c r="AV133" s="47"/>
      <c r="AW133" s="47"/>
      <c r="AX133" s="47"/>
      <c r="AY133" s="47"/>
      <c r="AZ133" s="47"/>
      <c r="BA133" s="47"/>
      <c r="BB133" s="47"/>
      <c r="BC133" s="47"/>
      <c r="BD133" s="47"/>
      <c r="BE133" s="47"/>
      <c r="BF133" s="47"/>
      <c r="BG133" s="47"/>
      <c r="BH133" s="47"/>
      <c r="BI133" s="47"/>
      <c r="BJ133" s="47"/>
      <c r="BK133" s="47"/>
      <c r="BL133" s="47"/>
      <c r="BM133" s="47"/>
      <c r="BN133" s="47"/>
      <c r="BO133" s="47"/>
      <c r="BP133" s="47"/>
      <c r="BQ133" s="47"/>
      <c r="BR133" s="47"/>
      <c r="BS133" s="49"/>
    </row>
    <row r="134" ht="13.55" customHeight="1">
      <c r="A134" s="121"/>
      <c r="B134" s="123"/>
      <c r="C134" s="123"/>
      <c r="D134" s="123"/>
      <c r="E134" s="198"/>
      <c r="F134" s="198"/>
      <c r="G134" s="123"/>
      <c r="H134" s="123"/>
      <c r="I134" s="123"/>
      <c r="J134" s="123"/>
      <c r="K134" s="123"/>
      <c r="L134" s="123"/>
      <c r="M134" s="123"/>
      <c r="N134" s="123"/>
      <c r="O134" s="123"/>
      <c r="P134" s="123"/>
      <c r="Q134" s="123"/>
      <c r="R134" s="199"/>
      <c r="S134" s="199"/>
      <c r="T134" s="199"/>
      <c r="U134" s="199"/>
      <c r="V134" s="199"/>
      <c r="W134" s="199"/>
      <c r="X134" s="123"/>
      <c r="Y134" s="123"/>
      <c r="Z134" s="123"/>
      <c r="AA134" s="123"/>
      <c r="AB134" s="123"/>
      <c r="AC134" s="123"/>
      <c r="AD134" s="47"/>
      <c r="AE134" s="47"/>
      <c r="AF134" s="47"/>
      <c r="AG134" s="47"/>
      <c r="AH134" s="47"/>
      <c r="AI134" s="47"/>
      <c r="AJ134" s="47"/>
      <c r="AK134" s="47"/>
      <c r="AL134" s="47"/>
      <c r="AM134" s="47"/>
      <c r="AN134" s="47"/>
      <c r="AO134" s="47"/>
      <c r="AP134" s="47"/>
      <c r="AQ134" s="47"/>
      <c r="AR134" s="47"/>
      <c r="AS134" s="47"/>
      <c r="AT134" s="47"/>
      <c r="AU134" s="47"/>
      <c r="AV134" s="47"/>
      <c r="AW134" s="47"/>
      <c r="AX134" s="47"/>
      <c r="AY134" s="47"/>
      <c r="AZ134" s="47"/>
      <c r="BA134" s="47"/>
      <c r="BB134" s="47"/>
      <c r="BC134" s="47"/>
      <c r="BD134" s="47"/>
      <c r="BE134" s="47"/>
      <c r="BF134" s="47"/>
      <c r="BG134" s="47"/>
      <c r="BH134" s="47"/>
      <c r="BI134" s="47"/>
      <c r="BJ134" s="47"/>
      <c r="BK134" s="47"/>
      <c r="BL134" s="47"/>
      <c r="BM134" s="47"/>
      <c r="BN134" s="47"/>
      <c r="BO134" s="47"/>
      <c r="BP134" s="47"/>
      <c r="BQ134" s="47"/>
      <c r="BR134" s="47"/>
      <c r="BS134" s="49"/>
    </row>
    <row r="135" ht="13.55" customHeight="1">
      <c r="A135" s="121"/>
      <c r="B135" s="123"/>
      <c r="C135" s="123"/>
      <c r="D135" s="123"/>
      <c r="E135" s="198"/>
      <c r="F135" s="198"/>
      <c r="G135" s="123"/>
      <c r="H135" s="123"/>
      <c r="I135" s="123"/>
      <c r="J135" s="123"/>
      <c r="K135" s="123"/>
      <c r="L135" s="123"/>
      <c r="M135" s="123"/>
      <c r="N135" s="123"/>
      <c r="O135" s="123"/>
      <c r="P135" s="123"/>
      <c r="Q135" s="123"/>
      <c r="R135" s="199"/>
      <c r="S135" s="199"/>
      <c r="T135" s="199"/>
      <c r="U135" s="199"/>
      <c r="V135" s="199"/>
      <c r="W135" s="199"/>
      <c r="X135" s="123"/>
      <c r="Y135" s="123"/>
      <c r="Z135" s="123"/>
      <c r="AA135" s="123"/>
      <c r="AB135" s="123"/>
      <c r="AC135" s="123"/>
      <c r="AD135" s="47"/>
      <c r="AE135" s="47"/>
      <c r="AF135" s="47"/>
      <c r="AG135" s="47"/>
      <c r="AH135" s="47"/>
      <c r="AI135" s="47"/>
      <c r="AJ135" s="47"/>
      <c r="AK135" s="47"/>
      <c r="AL135" s="47"/>
      <c r="AM135" s="47"/>
      <c r="AN135" s="47"/>
      <c r="AO135" s="47"/>
      <c r="AP135" s="47"/>
      <c r="AQ135" s="47"/>
      <c r="AR135" s="47"/>
      <c r="AS135" s="47"/>
      <c r="AT135" s="47"/>
      <c r="AU135" s="47"/>
      <c r="AV135" s="47"/>
      <c r="AW135" s="47"/>
      <c r="AX135" s="47"/>
      <c r="AY135" s="47"/>
      <c r="AZ135" s="47"/>
      <c r="BA135" s="47"/>
      <c r="BB135" s="47"/>
      <c r="BC135" s="47"/>
      <c r="BD135" s="47"/>
      <c r="BE135" s="47"/>
      <c r="BF135" s="47"/>
      <c r="BG135" s="47"/>
      <c r="BH135" s="47"/>
      <c r="BI135" s="47"/>
      <c r="BJ135" s="47"/>
      <c r="BK135" s="47"/>
      <c r="BL135" s="47"/>
      <c r="BM135" s="47"/>
      <c r="BN135" s="47"/>
      <c r="BO135" s="47"/>
      <c r="BP135" s="47"/>
      <c r="BQ135" s="47"/>
      <c r="BR135" s="47"/>
      <c r="BS135" s="49"/>
    </row>
    <row r="136" ht="13.55" customHeight="1">
      <c r="A136" s="121"/>
      <c r="B136" s="123"/>
      <c r="C136" s="123"/>
      <c r="D136" s="123"/>
      <c r="E136" s="198"/>
      <c r="F136" s="198"/>
      <c r="G136" s="123"/>
      <c r="H136" s="123"/>
      <c r="I136" s="123"/>
      <c r="J136" s="123"/>
      <c r="K136" s="123"/>
      <c r="L136" s="123"/>
      <c r="M136" s="123"/>
      <c r="N136" s="123"/>
      <c r="O136" s="123"/>
      <c r="P136" s="123"/>
      <c r="Q136" s="123"/>
      <c r="R136" s="199"/>
      <c r="S136" s="199"/>
      <c r="T136" s="199"/>
      <c r="U136" s="199"/>
      <c r="V136" s="199"/>
      <c r="W136" s="199"/>
      <c r="X136" s="123"/>
      <c r="Y136" s="123"/>
      <c r="Z136" s="123"/>
      <c r="AA136" s="123"/>
      <c r="AB136" s="123"/>
      <c r="AC136" s="123"/>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47"/>
      <c r="AZ136" s="47"/>
      <c r="BA136" s="47"/>
      <c r="BB136" s="47"/>
      <c r="BC136" s="47"/>
      <c r="BD136" s="47"/>
      <c r="BE136" s="47"/>
      <c r="BF136" s="47"/>
      <c r="BG136" s="47"/>
      <c r="BH136" s="47"/>
      <c r="BI136" s="47"/>
      <c r="BJ136" s="47"/>
      <c r="BK136" s="47"/>
      <c r="BL136" s="47"/>
      <c r="BM136" s="47"/>
      <c r="BN136" s="47"/>
      <c r="BO136" s="47"/>
      <c r="BP136" s="47"/>
      <c r="BQ136" s="47"/>
      <c r="BR136" s="47"/>
      <c r="BS136" s="49"/>
    </row>
    <row r="137" ht="13.55" customHeight="1">
      <c r="A137" s="121"/>
      <c r="B137" s="123"/>
      <c r="C137" s="123"/>
      <c r="D137" s="123"/>
      <c r="E137" s="198"/>
      <c r="F137" s="198"/>
      <c r="G137" s="123"/>
      <c r="H137" s="123"/>
      <c r="I137" s="123"/>
      <c r="J137" s="123"/>
      <c r="K137" s="123"/>
      <c r="L137" s="123"/>
      <c r="M137" s="123"/>
      <c r="N137" s="123"/>
      <c r="O137" s="123"/>
      <c r="P137" s="123"/>
      <c r="Q137" s="123"/>
      <c r="R137" s="199"/>
      <c r="S137" s="199"/>
      <c r="T137" s="199"/>
      <c r="U137" s="199"/>
      <c r="V137" s="199"/>
      <c r="W137" s="199"/>
      <c r="X137" s="123"/>
      <c r="Y137" s="123"/>
      <c r="Z137" s="123"/>
      <c r="AA137" s="123"/>
      <c r="AB137" s="123"/>
      <c r="AC137" s="123"/>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c r="BF137" s="47"/>
      <c r="BG137" s="47"/>
      <c r="BH137" s="47"/>
      <c r="BI137" s="47"/>
      <c r="BJ137" s="47"/>
      <c r="BK137" s="47"/>
      <c r="BL137" s="47"/>
      <c r="BM137" s="47"/>
      <c r="BN137" s="47"/>
      <c r="BO137" s="47"/>
      <c r="BP137" s="47"/>
      <c r="BQ137" s="47"/>
      <c r="BR137" s="47"/>
      <c r="BS137" s="49"/>
    </row>
    <row r="138" ht="13.55" customHeight="1">
      <c r="A138" s="121"/>
      <c r="B138" s="123"/>
      <c r="C138" s="123"/>
      <c r="D138" s="123"/>
      <c r="E138" s="198"/>
      <c r="F138" s="198"/>
      <c r="G138" s="123"/>
      <c r="H138" s="123"/>
      <c r="I138" s="123"/>
      <c r="J138" s="123"/>
      <c r="K138" s="123"/>
      <c r="L138" s="123"/>
      <c r="M138" s="123"/>
      <c r="N138" s="123"/>
      <c r="O138" s="123"/>
      <c r="P138" s="123"/>
      <c r="Q138" s="123"/>
      <c r="R138" s="199"/>
      <c r="S138" s="199"/>
      <c r="T138" s="199"/>
      <c r="U138" s="199"/>
      <c r="V138" s="199"/>
      <c r="W138" s="199"/>
      <c r="X138" s="123"/>
      <c r="Y138" s="123"/>
      <c r="Z138" s="123"/>
      <c r="AA138" s="123"/>
      <c r="AB138" s="123"/>
      <c r="AC138" s="123"/>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47"/>
      <c r="AZ138" s="47"/>
      <c r="BA138" s="47"/>
      <c r="BB138" s="47"/>
      <c r="BC138" s="47"/>
      <c r="BD138" s="47"/>
      <c r="BE138" s="47"/>
      <c r="BF138" s="47"/>
      <c r="BG138" s="47"/>
      <c r="BH138" s="47"/>
      <c r="BI138" s="47"/>
      <c r="BJ138" s="47"/>
      <c r="BK138" s="47"/>
      <c r="BL138" s="47"/>
      <c r="BM138" s="47"/>
      <c r="BN138" s="47"/>
      <c r="BO138" s="47"/>
      <c r="BP138" s="47"/>
      <c r="BQ138" s="47"/>
      <c r="BR138" s="47"/>
      <c r="BS138" s="49"/>
    </row>
    <row r="139" ht="13.55" customHeight="1">
      <c r="A139" s="121"/>
      <c r="B139" s="123"/>
      <c r="C139" s="123"/>
      <c r="D139" s="123"/>
      <c r="E139" s="198"/>
      <c r="F139" s="198"/>
      <c r="G139" s="123"/>
      <c r="H139" s="123"/>
      <c r="I139" s="123"/>
      <c r="J139" s="123"/>
      <c r="K139" s="123"/>
      <c r="L139" s="123"/>
      <c r="M139" s="123"/>
      <c r="N139" s="123"/>
      <c r="O139" s="123"/>
      <c r="P139" s="123"/>
      <c r="Q139" s="123"/>
      <c r="R139" s="199"/>
      <c r="S139" s="199"/>
      <c r="T139" s="199"/>
      <c r="U139" s="199"/>
      <c r="V139" s="199"/>
      <c r="W139" s="199"/>
      <c r="X139" s="123"/>
      <c r="Y139" s="123"/>
      <c r="Z139" s="123"/>
      <c r="AA139" s="123"/>
      <c r="AB139" s="123"/>
      <c r="AC139" s="123"/>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c r="BF139" s="47"/>
      <c r="BG139" s="47"/>
      <c r="BH139" s="47"/>
      <c r="BI139" s="47"/>
      <c r="BJ139" s="47"/>
      <c r="BK139" s="47"/>
      <c r="BL139" s="47"/>
      <c r="BM139" s="47"/>
      <c r="BN139" s="47"/>
      <c r="BO139" s="47"/>
      <c r="BP139" s="47"/>
      <c r="BQ139" s="47"/>
      <c r="BR139" s="47"/>
      <c r="BS139" s="49"/>
    </row>
    <row r="140" ht="13.55" customHeight="1">
      <c r="A140" s="121"/>
      <c r="B140" s="123"/>
      <c r="C140" s="123"/>
      <c r="D140" s="123"/>
      <c r="E140" s="198"/>
      <c r="F140" s="198"/>
      <c r="G140" s="123"/>
      <c r="H140" s="123"/>
      <c r="I140" s="123"/>
      <c r="J140" s="123"/>
      <c r="K140" s="123"/>
      <c r="L140" s="123"/>
      <c r="M140" s="123"/>
      <c r="N140" s="123"/>
      <c r="O140" s="123"/>
      <c r="P140" s="123"/>
      <c r="Q140" s="123"/>
      <c r="R140" s="199"/>
      <c r="S140" s="199"/>
      <c r="T140" s="199"/>
      <c r="U140" s="199"/>
      <c r="V140" s="199"/>
      <c r="W140" s="199"/>
      <c r="X140" s="123"/>
      <c r="Y140" s="123"/>
      <c r="Z140" s="123"/>
      <c r="AA140" s="123"/>
      <c r="AB140" s="123"/>
      <c r="AC140" s="123"/>
      <c r="AD140" s="47"/>
      <c r="AE140" s="47"/>
      <c r="AF140" s="47"/>
      <c r="AG140" s="47"/>
      <c r="AH140" s="47"/>
      <c r="AI140" s="47"/>
      <c r="AJ140" s="47"/>
      <c r="AK140" s="47"/>
      <c r="AL140" s="47"/>
      <c r="AM140" s="47"/>
      <c r="AN140" s="47"/>
      <c r="AO140" s="47"/>
      <c r="AP140" s="47"/>
      <c r="AQ140" s="47"/>
      <c r="AR140" s="47"/>
      <c r="AS140" s="47"/>
      <c r="AT140" s="47"/>
      <c r="AU140" s="47"/>
      <c r="AV140" s="47"/>
      <c r="AW140" s="47"/>
      <c r="AX140" s="47"/>
      <c r="AY140" s="47"/>
      <c r="AZ140" s="47"/>
      <c r="BA140" s="47"/>
      <c r="BB140" s="47"/>
      <c r="BC140" s="47"/>
      <c r="BD140" s="47"/>
      <c r="BE140" s="47"/>
      <c r="BF140" s="47"/>
      <c r="BG140" s="47"/>
      <c r="BH140" s="47"/>
      <c r="BI140" s="47"/>
      <c r="BJ140" s="47"/>
      <c r="BK140" s="47"/>
      <c r="BL140" s="47"/>
      <c r="BM140" s="47"/>
      <c r="BN140" s="47"/>
      <c r="BO140" s="47"/>
      <c r="BP140" s="47"/>
      <c r="BQ140" s="47"/>
      <c r="BR140" s="47"/>
      <c r="BS140" s="49"/>
    </row>
    <row r="141" ht="13.55" customHeight="1">
      <c r="A141" s="121"/>
      <c r="B141" s="123"/>
      <c r="C141" s="123"/>
      <c r="D141" s="123"/>
      <c r="E141" s="198"/>
      <c r="F141" s="198"/>
      <c r="G141" s="123"/>
      <c r="H141" s="123"/>
      <c r="I141" s="123"/>
      <c r="J141" s="123"/>
      <c r="K141" s="123"/>
      <c r="L141" s="123"/>
      <c r="M141" s="123"/>
      <c r="N141" s="123"/>
      <c r="O141" s="123"/>
      <c r="P141" s="123"/>
      <c r="Q141" s="123"/>
      <c r="R141" s="199"/>
      <c r="S141" s="199"/>
      <c r="T141" s="199"/>
      <c r="U141" s="199"/>
      <c r="V141" s="199"/>
      <c r="W141" s="199"/>
      <c r="X141" s="123"/>
      <c r="Y141" s="123"/>
      <c r="Z141" s="123"/>
      <c r="AA141" s="123"/>
      <c r="AB141" s="123"/>
      <c r="AC141" s="123"/>
      <c r="AD141" s="47"/>
      <c r="AE141" s="47"/>
      <c r="AF141" s="47"/>
      <c r="AG141" s="47"/>
      <c r="AH141" s="47"/>
      <c r="AI141" s="47"/>
      <c r="AJ141" s="47"/>
      <c r="AK141" s="47"/>
      <c r="AL141" s="47"/>
      <c r="AM141" s="47"/>
      <c r="AN141" s="47"/>
      <c r="AO141" s="47"/>
      <c r="AP141" s="47"/>
      <c r="AQ141" s="47"/>
      <c r="AR141" s="47"/>
      <c r="AS141" s="47"/>
      <c r="AT141" s="47"/>
      <c r="AU141" s="47"/>
      <c r="AV141" s="47"/>
      <c r="AW141" s="47"/>
      <c r="AX141" s="47"/>
      <c r="AY141" s="47"/>
      <c r="AZ141" s="47"/>
      <c r="BA141" s="47"/>
      <c r="BB141" s="47"/>
      <c r="BC141" s="47"/>
      <c r="BD141" s="47"/>
      <c r="BE141" s="47"/>
      <c r="BF141" s="47"/>
      <c r="BG141" s="47"/>
      <c r="BH141" s="47"/>
      <c r="BI141" s="47"/>
      <c r="BJ141" s="47"/>
      <c r="BK141" s="47"/>
      <c r="BL141" s="47"/>
      <c r="BM141" s="47"/>
      <c r="BN141" s="47"/>
      <c r="BO141" s="47"/>
      <c r="BP141" s="47"/>
      <c r="BQ141" s="47"/>
      <c r="BR141" s="47"/>
      <c r="BS141" s="49"/>
    </row>
    <row r="142" ht="13.55" customHeight="1">
      <c r="A142" s="121"/>
      <c r="B142" s="123"/>
      <c r="C142" s="123"/>
      <c r="D142" s="123"/>
      <c r="E142" s="198"/>
      <c r="F142" s="198"/>
      <c r="G142" s="123"/>
      <c r="H142" s="123"/>
      <c r="I142" s="123"/>
      <c r="J142" s="123"/>
      <c r="K142" s="123"/>
      <c r="L142" s="123"/>
      <c r="M142" s="123"/>
      <c r="N142" s="123"/>
      <c r="O142" s="123"/>
      <c r="P142" s="123"/>
      <c r="Q142" s="123"/>
      <c r="R142" s="199"/>
      <c r="S142" s="199"/>
      <c r="T142" s="199"/>
      <c r="U142" s="199"/>
      <c r="V142" s="199"/>
      <c r="W142" s="199"/>
      <c r="X142" s="123"/>
      <c r="Y142" s="123"/>
      <c r="Z142" s="123"/>
      <c r="AA142" s="123"/>
      <c r="AB142" s="123"/>
      <c r="AC142" s="123"/>
      <c r="AD142" s="47"/>
      <c r="AE142" s="47"/>
      <c r="AF142" s="47"/>
      <c r="AG142" s="47"/>
      <c r="AH142" s="47"/>
      <c r="AI142" s="47"/>
      <c r="AJ142" s="47"/>
      <c r="AK142" s="47"/>
      <c r="AL142" s="47"/>
      <c r="AM142" s="47"/>
      <c r="AN142" s="47"/>
      <c r="AO142" s="47"/>
      <c r="AP142" s="47"/>
      <c r="AQ142" s="47"/>
      <c r="AR142" s="47"/>
      <c r="AS142" s="47"/>
      <c r="AT142" s="47"/>
      <c r="AU142" s="47"/>
      <c r="AV142" s="47"/>
      <c r="AW142" s="47"/>
      <c r="AX142" s="47"/>
      <c r="AY142" s="47"/>
      <c r="AZ142" s="47"/>
      <c r="BA142" s="47"/>
      <c r="BB142" s="47"/>
      <c r="BC142" s="47"/>
      <c r="BD142" s="47"/>
      <c r="BE142" s="47"/>
      <c r="BF142" s="47"/>
      <c r="BG142" s="47"/>
      <c r="BH142" s="47"/>
      <c r="BI142" s="47"/>
      <c r="BJ142" s="47"/>
      <c r="BK142" s="47"/>
      <c r="BL142" s="47"/>
      <c r="BM142" s="47"/>
      <c r="BN142" s="47"/>
      <c r="BO142" s="47"/>
      <c r="BP142" s="47"/>
      <c r="BQ142" s="47"/>
      <c r="BR142" s="47"/>
      <c r="BS142" s="49"/>
    </row>
    <row r="143" ht="13.55" customHeight="1">
      <c r="A143" s="121"/>
      <c r="B143" s="123"/>
      <c r="C143" s="123"/>
      <c r="D143" s="123"/>
      <c r="E143" s="198"/>
      <c r="F143" s="198"/>
      <c r="G143" s="123"/>
      <c r="H143" s="123"/>
      <c r="I143" s="123"/>
      <c r="J143" s="123"/>
      <c r="K143" s="123"/>
      <c r="L143" s="123"/>
      <c r="M143" s="123"/>
      <c r="N143" s="123"/>
      <c r="O143" s="123"/>
      <c r="P143" s="123"/>
      <c r="Q143" s="123"/>
      <c r="R143" s="199"/>
      <c r="S143" s="199"/>
      <c r="T143" s="199"/>
      <c r="U143" s="199"/>
      <c r="V143" s="199"/>
      <c r="W143" s="199"/>
      <c r="X143" s="123"/>
      <c r="Y143" s="123"/>
      <c r="Z143" s="123"/>
      <c r="AA143" s="123"/>
      <c r="AB143" s="123"/>
      <c r="AC143" s="123"/>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47"/>
      <c r="AZ143" s="47"/>
      <c r="BA143" s="47"/>
      <c r="BB143" s="47"/>
      <c r="BC143" s="47"/>
      <c r="BD143" s="47"/>
      <c r="BE143" s="47"/>
      <c r="BF143" s="47"/>
      <c r="BG143" s="47"/>
      <c r="BH143" s="47"/>
      <c r="BI143" s="47"/>
      <c r="BJ143" s="47"/>
      <c r="BK143" s="47"/>
      <c r="BL143" s="47"/>
      <c r="BM143" s="47"/>
      <c r="BN143" s="47"/>
      <c r="BO143" s="47"/>
      <c r="BP143" s="47"/>
      <c r="BQ143" s="47"/>
      <c r="BR143" s="47"/>
      <c r="BS143" s="49"/>
    </row>
    <row r="144" ht="13.55" customHeight="1">
      <c r="A144" s="200"/>
      <c r="B144" s="201"/>
      <c r="C144" s="201"/>
      <c r="D144" s="201"/>
      <c r="E144" s="202"/>
      <c r="F144" s="202"/>
      <c r="G144" s="201"/>
      <c r="H144" s="201"/>
      <c r="I144" s="201"/>
      <c r="J144" s="201"/>
      <c r="K144" s="201"/>
      <c r="L144" s="201"/>
      <c r="M144" s="201"/>
      <c r="N144" s="201"/>
      <c r="O144" s="201"/>
      <c r="P144" s="201"/>
      <c r="Q144" s="201"/>
      <c r="R144" s="203"/>
      <c r="S144" s="203"/>
      <c r="T144" s="203"/>
      <c r="U144" s="203"/>
      <c r="V144" s="203"/>
      <c r="W144" s="203"/>
      <c r="X144" s="201"/>
      <c r="Y144" s="201"/>
      <c r="Z144" s="201"/>
      <c r="AA144" s="201"/>
      <c r="AB144" s="201"/>
      <c r="AC144" s="201"/>
      <c r="AD144" s="109"/>
      <c r="AE144" s="109"/>
      <c r="AF144" s="109"/>
      <c r="AG144" s="109"/>
      <c r="AH144" s="109"/>
      <c r="AI144" s="109"/>
      <c r="AJ144" s="109"/>
      <c r="AK144" s="109"/>
      <c r="AL144" s="109"/>
      <c r="AM144" s="109"/>
      <c r="AN144" s="109"/>
      <c r="AO144" s="109"/>
      <c r="AP144" s="109"/>
      <c r="AQ144" s="109"/>
      <c r="AR144" s="109"/>
      <c r="AS144" s="109"/>
      <c r="AT144" s="109"/>
      <c r="AU144" s="109"/>
      <c r="AV144" s="109"/>
      <c r="AW144" s="109"/>
      <c r="AX144" s="109"/>
      <c r="AY144" s="109"/>
      <c r="AZ144" s="109"/>
      <c r="BA144" s="109"/>
      <c r="BB144" s="109"/>
      <c r="BC144" s="109"/>
      <c r="BD144" s="109"/>
      <c r="BE144" s="109"/>
      <c r="BF144" s="109"/>
      <c r="BG144" s="109"/>
      <c r="BH144" s="109"/>
      <c r="BI144" s="109"/>
      <c r="BJ144" s="109"/>
      <c r="BK144" s="109"/>
      <c r="BL144" s="109"/>
      <c r="BM144" s="109"/>
      <c r="BN144" s="109"/>
      <c r="BO144" s="109"/>
      <c r="BP144" s="109"/>
      <c r="BQ144" s="109"/>
      <c r="BR144" s="109"/>
      <c r="BS144" s="112"/>
    </row>
  </sheetData>
  <conditionalFormatting sqref="I10:I69">
    <cfRule type="cellIs" dxfId="0" priority="1" operator="equal" stopIfTrue="1">
      <formula>'Parameters'!$I$4</formula>
    </cfRule>
    <cfRule type="cellIs" dxfId="1" priority="2" operator="equal" stopIfTrue="1">
      <formula>'Parameters'!$I$5</formula>
    </cfRule>
    <cfRule type="cellIs" dxfId="2" priority="3" operator="equal" stopIfTrue="1">
      <formula>'Parameters'!$I$6</formula>
    </cfRule>
    <cfRule type="cellIs" dxfId="3" priority="4" operator="equal" stopIfTrue="1">
      <formula>'Parameters'!$I$7</formula>
    </cfRule>
  </conditionalFormatting>
  <dataValidations count="6">
    <dataValidation type="list" allowBlank="1" showInputMessage="1" showErrorMessage="1" sqref="D6 R10:S69">
      <formula1>"Yes,No"</formula1>
    </dataValidation>
    <dataValidation type="list" allowBlank="1" showInputMessage="1" showErrorMessage="1" sqref="B10:B69">
      <formula1>"Hall,Living,Living/Dining,Living/Kitchen/Dining,Kitchen,Kitchen/Dining,Dining,Family,Family/Dining,Utility,WC,Landing,Study,Bedroom 1,Bedroom 2,Bedroom 3,Bedroom 4,Bedroom 5,Bathroom 1,Bathroom 2,En-suite 1,En-suite 2,Dressing,Other 1,Other 2"</formula1>
    </dataValidation>
    <dataValidation type="list" allowBlank="1" showInputMessage="1" showErrorMessage="1" sqref="H10:H29">
      <formula1>"3,6,9,12"</formula1>
    </dataValidation>
    <dataValidation type="list" allowBlank="1" showInputMessage="1" showErrorMessage="1" sqref="J10:J69">
      <formula1>"Fixed pane,Top hung,Side hung,Sash,Inward - side hung,Inward - top/bottom hung,Sliding or bifold window,Front door,Other door (hinged),Other door (sliding),Other door (bifold),Rooflight - centre pivot,Rooflight - top pivot"</formula1>
    </dataValidation>
    <dataValidation type="list" allowBlank="1" showInputMessage="1" showErrorMessage="1" sqref="K10:K69 X10:X69">
      <formula1>"No,Yes"</formula1>
    </dataValidation>
    <dataValidation type="list" allowBlank="1" showInputMessage="1" showErrorMessage="1" sqref="L10:L69">
      <formula1>"Dimensions,Area"</formula1>
    </dataValidation>
  </dataValidations>
  <pageMargins left="0.23622" right="0.23622" top="0.748031" bottom="0.748031" header="0.314961" footer="0.314961"/>
  <pageSetup firstPageNumber="1" fitToHeight="1" fitToWidth="1" scale="65" useFirstPageNumber="0" orientation="landscape" pageOrder="downThenOver"/>
  <headerFooter>
    <oddFooter>&amp;C&amp;"Helvetica Neue,Regular"&amp;12&amp;K000000&amp;P</oddFooter>
  </headerFooter>
  <drawing r:id="rId1"/>
  <legacyDrawing r:id="rId2"/>
</worksheet>
</file>

<file path=xl/worksheets/sheet5.xml><?xml version="1.0" encoding="utf-8"?>
<worksheet xmlns:r="http://schemas.openxmlformats.org/officeDocument/2006/relationships" xmlns="http://schemas.openxmlformats.org/spreadsheetml/2006/main">
  <dimension ref="A1:L42"/>
  <sheetViews>
    <sheetView workbookViewId="0" showGridLines="0" defaultGridColor="1"/>
  </sheetViews>
  <sheetFormatPr defaultColWidth="8.83333" defaultRowHeight="15" customHeight="1" outlineLevelRow="0" outlineLevelCol="0"/>
  <cols>
    <col min="1" max="1" width="2.67188" style="204" customWidth="1"/>
    <col min="2" max="2" width="3.17188" style="204" customWidth="1"/>
    <col min="3" max="3" width="37.6719" style="204" customWidth="1"/>
    <col min="4" max="4" width="10" style="204" customWidth="1"/>
    <col min="5" max="5" width="3.5" style="204" customWidth="1"/>
    <col min="6" max="6" width="12.8516" style="204" customWidth="1"/>
    <col min="7" max="7" width="3.5" style="204" customWidth="1"/>
    <col min="8" max="8" width="8.67188" style="204" customWidth="1"/>
    <col min="9" max="9" width="3.5" style="204" customWidth="1"/>
    <col min="10" max="10" width="8.5" style="204" customWidth="1"/>
    <col min="11" max="11" width="4.5" style="204" customWidth="1"/>
    <col min="12" max="12" width="19" style="204" customWidth="1"/>
    <col min="13" max="16384" width="8.85156" style="204" customWidth="1"/>
  </cols>
  <sheetData>
    <row r="1" ht="19" customHeight="1">
      <c r="A1" s="114"/>
      <c r="B1" t="s" s="115">
        <v>225</v>
      </c>
      <c r="C1" s="116"/>
      <c r="D1" s="116"/>
      <c r="E1" s="116"/>
      <c r="F1" s="205"/>
      <c r="G1" s="116"/>
      <c r="H1" s="116"/>
      <c r="I1" s="116"/>
      <c r="J1" s="116"/>
      <c r="K1" s="116"/>
      <c r="L1" s="206"/>
    </row>
    <row r="2" ht="16" customHeight="1">
      <c r="A2" s="121"/>
      <c r="B2" s="207"/>
      <c r="C2" s="207"/>
      <c r="D2" s="207"/>
      <c r="E2" s="207"/>
      <c r="F2" s="208"/>
      <c r="G2" s="207"/>
      <c r="H2" s="207"/>
      <c r="I2" s="123"/>
      <c r="J2" s="123"/>
      <c r="K2" s="123"/>
      <c r="L2" s="209"/>
    </row>
    <row r="3" ht="14.05" customHeight="1">
      <c r="A3" s="210"/>
      <c r="B3" s="211"/>
      <c r="C3" t="s" s="212">
        <v>226</v>
      </c>
      <c r="D3" s="213"/>
      <c r="E3" s="213"/>
      <c r="F3" s="213"/>
      <c r="G3" s="213"/>
      <c r="H3" t="s" s="214">
        <v>199</v>
      </c>
      <c r="I3" t="s" s="215">
        <f>IF(OR(H3="yes",H4="yes"),"! Simplified Method not appropriate.","")</f>
      </c>
      <c r="J3" s="123"/>
      <c r="K3" s="123"/>
      <c r="L3" s="209"/>
    </row>
    <row r="4" ht="13.55" customHeight="1">
      <c r="A4" s="210"/>
      <c r="B4" s="216"/>
      <c r="C4" t="s" s="217">
        <v>227</v>
      </c>
      <c r="D4" s="218"/>
      <c r="E4" s="218"/>
      <c r="F4" s="218"/>
      <c r="G4" s="218"/>
      <c r="H4" t="s" s="219">
        <v>199</v>
      </c>
      <c r="I4" t="s" s="215">
        <f>IF(OR(H3="yes",H4="yes"),"Use Dynamic Thermal Modelling","")</f>
      </c>
      <c r="J4" s="123"/>
      <c r="K4" s="123"/>
      <c r="L4" s="209"/>
    </row>
    <row r="5" ht="16" customHeight="1">
      <c r="A5" s="210"/>
      <c r="B5" s="220"/>
      <c r="C5" t="s" s="221">
        <v>228</v>
      </c>
      <c r="D5" s="222"/>
      <c r="E5" s="222"/>
      <c r="F5" s="222"/>
      <c r="G5" s="222"/>
      <c r="H5" t="s" s="223">
        <v>189</v>
      </c>
      <c r="I5" t="s" s="215">
        <f>IF(OR(H3="yes",H4="yes"),"(TM59) instead.","")</f>
      </c>
      <c r="J5" s="123"/>
      <c r="K5" s="123"/>
      <c r="L5" s="209"/>
    </row>
    <row r="6" ht="16" customHeight="1">
      <c r="A6" s="121"/>
      <c r="B6" s="224"/>
      <c r="C6" s="225"/>
      <c r="D6" s="225"/>
      <c r="E6" s="225"/>
      <c r="F6" s="225"/>
      <c r="G6" s="225"/>
      <c r="H6" s="225"/>
      <c r="I6" s="207"/>
      <c r="J6" s="207"/>
      <c r="K6" s="207"/>
      <c r="L6" s="209"/>
    </row>
    <row r="7" ht="16" customHeight="1">
      <c r="A7" s="210"/>
      <c r="B7" s="226"/>
      <c r="C7" t="s" s="227">
        <v>229</v>
      </c>
      <c r="D7" t="s" s="228">
        <f>'Cover page'!D3</f>
        <v>21</v>
      </c>
      <c r="E7" s="225"/>
      <c r="F7" s="225"/>
      <c r="G7" s="225"/>
      <c r="H7" s="225"/>
      <c r="I7" s="225"/>
      <c r="J7" s="225"/>
      <c r="K7" s="229"/>
      <c r="L7" s="230"/>
    </row>
    <row r="8" ht="16.5" customHeight="1">
      <c r="A8" s="210"/>
      <c r="B8" t="s" s="231">
        <v>230</v>
      </c>
      <c r="C8" t="s" s="232">
        <v>231</v>
      </c>
      <c r="D8" s="233"/>
      <c r="E8" s="233"/>
      <c r="F8" s="233"/>
      <c r="G8" s="234"/>
      <c r="H8" s="235"/>
      <c r="I8" s="233"/>
      <c r="J8" s="233"/>
      <c r="K8" s="234"/>
      <c r="L8" s="230"/>
    </row>
    <row r="9" ht="13.55" customHeight="1">
      <c r="A9" s="210"/>
      <c r="B9" s="236"/>
      <c r="C9" t="s" s="237">
        <v>232</v>
      </c>
      <c r="D9" s="238"/>
      <c r="E9" s="238"/>
      <c r="F9" s="238"/>
      <c r="G9" s="239"/>
      <c r="H9" s="240"/>
      <c r="I9" s="123"/>
      <c r="J9" s="123"/>
      <c r="K9" s="241"/>
      <c r="L9" s="230"/>
    </row>
    <row r="10" ht="13.55" customHeight="1">
      <c r="A10" s="210"/>
      <c r="B10" s="236"/>
      <c r="C10" t="s" s="237">
        <v>233</v>
      </c>
      <c r="D10" t="s" s="242">
        <v>234</v>
      </c>
      <c r="E10" s="238"/>
      <c r="F10" s="238"/>
      <c r="G10" s="239"/>
      <c r="H10" s="240"/>
      <c r="I10" s="123"/>
      <c r="J10" s="123"/>
      <c r="K10" s="241"/>
      <c r="L10" s="230"/>
    </row>
    <row r="11" ht="13.55" customHeight="1">
      <c r="A11" s="210"/>
      <c r="B11" s="236"/>
      <c r="C11" t="s" s="237">
        <v>235</v>
      </c>
      <c r="D11" t="s" s="242">
        <v>236</v>
      </c>
      <c r="E11" s="238"/>
      <c r="F11" s="238"/>
      <c r="G11" s="239"/>
      <c r="H11" s="240"/>
      <c r="I11" s="123"/>
      <c r="J11" s="123"/>
      <c r="K11" s="241"/>
      <c r="L11" s="230"/>
    </row>
    <row r="12" ht="15" customHeight="1">
      <c r="A12" s="210"/>
      <c r="B12" s="243"/>
      <c r="C12" t="s" s="244">
        <v>237</v>
      </c>
      <c r="D12" s="245"/>
      <c r="E12" s="245"/>
      <c r="F12" s="245"/>
      <c r="G12" s="246"/>
      <c r="H12" t="s" s="247">
        <v>238</v>
      </c>
      <c r="I12" s="248"/>
      <c r="J12" s="248"/>
      <c r="K12" s="249"/>
      <c r="L12" s="230"/>
    </row>
    <row r="13" ht="14.05" customHeight="1">
      <c r="A13" s="210"/>
      <c r="B13" t="s" s="231">
        <v>239</v>
      </c>
      <c r="C13" t="s" s="232">
        <v>240</v>
      </c>
      <c r="D13" s="233"/>
      <c r="E13" s="233"/>
      <c r="F13" s="233"/>
      <c r="G13" s="234"/>
      <c r="H13" s="250"/>
      <c r="I13" s="248"/>
      <c r="J13" s="248"/>
      <c r="K13" s="249"/>
      <c r="L13" s="230"/>
    </row>
    <row r="14" ht="13.55" customHeight="1">
      <c r="A14" s="210"/>
      <c r="B14" s="236"/>
      <c r="C14" t="s" s="237">
        <v>241</v>
      </c>
      <c r="D14" t="s" s="251">
        <v>242</v>
      </c>
      <c r="E14" s="252"/>
      <c r="F14" s="123"/>
      <c r="G14" s="241"/>
      <c r="H14" s="250"/>
      <c r="I14" s="248"/>
      <c r="J14" s="248"/>
      <c r="K14" s="249"/>
      <c r="L14" s="230"/>
    </row>
    <row r="15" ht="13.55" customHeight="1">
      <c r="A15" s="210"/>
      <c r="B15" s="236"/>
      <c r="C15" t="s" s="237">
        <v>243</v>
      </c>
      <c r="D15" t="s" s="251">
        <v>244</v>
      </c>
      <c r="E15" s="252"/>
      <c r="F15" s="253"/>
      <c r="G15" s="241"/>
      <c r="H15" s="250"/>
      <c r="I15" s="248"/>
      <c r="J15" s="248"/>
      <c r="K15" s="249"/>
      <c r="L15" s="230"/>
    </row>
    <row r="16" ht="13.55" customHeight="1">
      <c r="A16" s="210"/>
      <c r="B16" s="236"/>
      <c r="C16" t="s" s="237">
        <v>245</v>
      </c>
      <c r="D16" t="s" s="254">
        <f>'Window &amp; Door DATA INPUT'!D6</f>
        <v>246</v>
      </c>
      <c r="E16" s="255"/>
      <c r="F16" s="253"/>
      <c r="G16" s="241"/>
      <c r="H16" s="240"/>
      <c r="I16" s="123"/>
      <c r="J16" s="123"/>
      <c r="K16" s="241"/>
      <c r="L16" s="230"/>
    </row>
    <row r="17" ht="17" customHeight="1">
      <c r="A17" s="210"/>
      <c r="B17" s="236"/>
      <c r="C17" t="s" s="237">
        <v>247</v>
      </c>
      <c r="D17" s="256">
        <f>'Window &amp; Door DATA INPUT'!D5</f>
        <v>135</v>
      </c>
      <c r="E17" s="255"/>
      <c r="F17" s="123"/>
      <c r="G17" s="241"/>
      <c r="H17" s="240"/>
      <c r="I17" s="123"/>
      <c r="J17" s="123"/>
      <c r="K17" s="241"/>
      <c r="L17" s="230"/>
    </row>
    <row r="18" ht="17" customHeight="1">
      <c r="A18" s="210"/>
      <c r="B18" s="243"/>
      <c r="C18" t="s" s="257">
        <v>248</v>
      </c>
      <c r="D18" t="s" s="258">
        <f>'Calculations'!BD6</f>
        <v>249</v>
      </c>
      <c r="E18" s="207"/>
      <c r="F18" s="207"/>
      <c r="G18" s="259"/>
      <c r="H18" s="260"/>
      <c r="I18" s="207"/>
      <c r="J18" s="207"/>
      <c r="K18" s="259"/>
      <c r="L18" s="230"/>
    </row>
    <row r="19" ht="14.5" customHeight="1">
      <c r="A19" s="210"/>
      <c r="B19" t="s" s="231">
        <v>250</v>
      </c>
      <c r="C19" t="s" s="232">
        <v>251</v>
      </c>
      <c r="D19" t="s" s="261">
        <v>252</v>
      </c>
      <c r="E19" s="262"/>
      <c r="F19" t="s" s="263">
        <v>253</v>
      </c>
      <c r="G19" s="262"/>
      <c r="H19" t="s" s="264">
        <v>254</v>
      </c>
      <c r="I19" s="265"/>
      <c r="J19" t="s" s="266">
        <v>255</v>
      </c>
      <c r="K19" t="s" s="267">
        <v>256</v>
      </c>
      <c r="L19" s="268"/>
    </row>
    <row r="20" ht="14" customHeight="1">
      <c r="A20" s="210"/>
      <c r="B20" s="236"/>
      <c r="C20" t="s" s="269">
        <v>257</v>
      </c>
      <c r="D20" s="270"/>
      <c r="E20" s="241"/>
      <c r="F20" s="271"/>
      <c r="G20" s="241"/>
      <c r="H20" s="236"/>
      <c r="I20" s="272"/>
      <c r="J20" s="273"/>
      <c r="K20" s="274"/>
      <c r="L20" s="230"/>
    </row>
    <row r="21" ht="14" customHeight="1">
      <c r="A21" s="210"/>
      <c r="B21" s="236"/>
      <c r="C21" t="s" s="275">
        <v>258</v>
      </c>
      <c r="D21" s="276">
        <f>'Calculations'!BD12</f>
        <v>19.895</v>
      </c>
      <c r="E21" t="s" s="277">
        <v>259</v>
      </c>
      <c r="F21" s="278">
        <f>ROUND('Calculations'!BE12,2)</f>
        <v>14.74</v>
      </c>
      <c r="G21" t="s" s="277">
        <v>260</v>
      </c>
      <c r="H21" s="279">
        <f>IF(AND(D15="provided",D18="west",D14="moderate risk"),VLOOKUP("high risk"&amp;$D$16&amp;$D$18,'Parameters'!$AG$4:$AH$19,2,FALSE),VLOOKUP($D$14&amp;$D$16&amp;$D$18,'Parameters'!$AG$4:$AH$19,2,FALSE))</f>
        <v>18</v>
      </c>
      <c r="I21" t="s" s="280">
        <v>260</v>
      </c>
      <c r="J21" t="s" s="281">
        <v>261</v>
      </c>
      <c r="K21" t="s" s="282">
        <f>IF(F21&lt;=H21,"P","O")</f>
        <v>262</v>
      </c>
      <c r="L21" s="268"/>
    </row>
    <row r="22" ht="16" customHeight="1">
      <c r="A22" s="210"/>
      <c r="B22" s="236"/>
      <c r="C22" t="s" s="283">
        <v>263</v>
      </c>
      <c r="D22" s="284">
        <f>'Calculations'!BD17</f>
        <v>10.154</v>
      </c>
      <c r="E22" t="s" s="285">
        <v>259</v>
      </c>
      <c r="F22" s="286">
        <f>ROUND('Calculations'!BE17,2)</f>
        <v>29.86</v>
      </c>
      <c r="G22" t="s" s="285">
        <v>260</v>
      </c>
      <c r="H22" s="287">
        <f>IF(AND(D15="provided",D18="west",D14="moderate risk"),VLOOKUP("high risk"&amp;$D$16&amp;$D$18,'Parameters'!$AG$4:$AI$19,3,FALSE),VLOOKUP($D$14&amp;$D$16&amp;$D$18,'Parameters'!$AG$4:$AI$19,3,FALSE))</f>
        <v>37</v>
      </c>
      <c r="I22" t="s" s="288">
        <v>260</v>
      </c>
      <c r="J22" t="s" s="289">
        <v>261</v>
      </c>
      <c r="K22" t="s" s="290">
        <f>IF(F22&lt;=H22,"P","O")</f>
        <v>262</v>
      </c>
      <c r="L22" s="268"/>
    </row>
    <row r="23" ht="13.55" customHeight="1">
      <c r="A23" s="210"/>
      <c r="B23" s="236"/>
      <c r="C23" t="s" s="291">
        <f>'Calculations'!BC16</f>
        <v>197</v>
      </c>
      <c r="D23" s="284"/>
      <c r="E23" s="292"/>
      <c r="F23" s="286"/>
      <c r="G23" s="292"/>
      <c r="H23" s="293"/>
      <c r="I23" s="294"/>
      <c r="J23" s="295"/>
      <c r="K23" s="296"/>
      <c r="L23" s="230"/>
    </row>
    <row r="24" ht="14" customHeight="1">
      <c r="A24" s="210"/>
      <c r="B24" s="236"/>
      <c r="C24" t="s" s="275">
        <v>264</v>
      </c>
      <c r="D24" t="s" s="297">
        <f>'Calculations'!BD7</f>
        <v>265</v>
      </c>
      <c r="E24" s="241"/>
      <c r="F24" s="298"/>
      <c r="G24" s="241"/>
      <c r="H24" t="s" s="299">
        <f>IF(D14="High Risk","Required",IF(AND(D14="moderate risk",D15="provided",D18="west"),"Required","Not required"))</f>
        <v>266</v>
      </c>
      <c r="I24" s="300"/>
      <c r="J24" s="273"/>
      <c r="K24" t="s" s="282">
        <f>IF(AND(H24="Required",D24="None"),"O","P")</f>
        <v>262</v>
      </c>
      <c r="L24" s="230"/>
    </row>
    <row r="25" ht="14" customHeight="1">
      <c r="A25" s="210"/>
      <c r="B25" s="236"/>
      <c r="C25" t="s" s="269">
        <v>267</v>
      </c>
      <c r="D25" s="270"/>
      <c r="E25" s="241"/>
      <c r="F25" s="298"/>
      <c r="G25" s="241"/>
      <c r="H25" s="236"/>
      <c r="I25" s="272"/>
      <c r="J25" s="273"/>
      <c r="K25" s="274"/>
      <c r="L25" s="230"/>
    </row>
    <row r="26" ht="14" customHeight="1">
      <c r="A26" s="210"/>
      <c r="B26" s="301"/>
      <c r="C26" t="s" s="275">
        <v>268</v>
      </c>
      <c r="D26" s="302">
        <f>'Calculations'!BD13</f>
        <v>12.5075616732233</v>
      </c>
      <c r="E26" t="s" s="303">
        <v>259</v>
      </c>
      <c r="F26" s="304">
        <f>ROUND('Calculations'!BE13,2)</f>
        <v>9.26</v>
      </c>
      <c r="G26" t="s" s="277">
        <v>260</v>
      </c>
      <c r="H26" s="305">
        <f>VLOOKUP($D$14&amp;$D$16&amp;$D$18,'Parameters'!$AG$4:$AL$19,4,FALSE)</f>
        <v>9</v>
      </c>
      <c r="I26" t="s" s="280">
        <v>260</v>
      </c>
      <c r="J26" t="s" s="281">
        <v>269</v>
      </c>
      <c r="K26" t="s" s="282">
        <f>IF(F26&lt;H26,"O","P")</f>
        <v>262</v>
      </c>
      <c r="L26" s="230"/>
    </row>
    <row r="27" ht="14" customHeight="1">
      <c r="A27" s="210"/>
      <c r="B27" s="301"/>
      <c r="C27" t="s" s="275">
        <v>270</v>
      </c>
      <c r="D27" s="306">
        <f>'Calculations'!BD13</f>
        <v>12.5075616732233</v>
      </c>
      <c r="E27" t="s" s="303">
        <v>259</v>
      </c>
      <c r="F27" s="307">
        <f>ROUND('Calculations'!BD9,2)</f>
        <v>62.87</v>
      </c>
      <c r="G27" t="s" s="277">
        <v>260</v>
      </c>
      <c r="H27" s="308">
        <f>VLOOKUP($D$14&amp;$D$16&amp;$D$18,'Parameters'!$AG$4:$AL$19,5,FALSE)</f>
        <v>55</v>
      </c>
      <c r="I27" t="s" s="280">
        <v>260</v>
      </c>
      <c r="J27" t="s" s="281">
        <v>269</v>
      </c>
      <c r="K27" t="s" s="282">
        <f>IF(F27&lt;H27,"O","P")</f>
        <v>262</v>
      </c>
      <c r="L27" s="230"/>
    </row>
    <row r="28" ht="14" customHeight="1">
      <c r="A28" s="210"/>
      <c r="B28" s="309"/>
      <c r="C28" t="s" s="275">
        <v>271</v>
      </c>
      <c r="D28" s="310">
        <f>'Calculations'!BD20</f>
        <v>0.534708761477574</v>
      </c>
      <c r="E28" t="s" s="277">
        <v>259</v>
      </c>
      <c r="F28" s="311">
        <f>IF('Calculations'!BE20="","",ROUND('Calculations'!BE20,2))</f>
        <v>4.91</v>
      </c>
      <c r="G28" t="s" s="277">
        <v>260</v>
      </c>
      <c r="H28" s="312">
        <f>IF('Calculations'!BE20="","",VLOOKUP($D$14&amp;$D$16&amp;$D$18,'Parameters'!$AG$4:$AL$19,6,FALSE))</f>
        <v>4</v>
      </c>
      <c r="I28" t="s" s="280">
        <v>260</v>
      </c>
      <c r="J28" t="s" s="281">
        <f>IF('Calculations'!BE20="","","&gt; target")</f>
        <v>269</v>
      </c>
      <c r="K28" t="s" s="282">
        <f>IF(F28="","",IF(F28&lt;H28,"O","P"))</f>
        <v>262</v>
      </c>
      <c r="L28" s="230"/>
    </row>
    <row r="29" ht="14" customHeight="1">
      <c r="A29" s="210"/>
      <c r="B29" s="309"/>
      <c r="C29" t="s" s="275">
        <v>272</v>
      </c>
      <c r="D29" s="310">
        <f>'Calculations'!BD21</f>
        <v>0.451764329932711</v>
      </c>
      <c r="E29" t="s" s="277">
        <v>259</v>
      </c>
      <c r="F29" s="311">
        <f>IF('Calculations'!BE21="","",ROUND('Calculations'!BE21,2))</f>
        <v>4.56</v>
      </c>
      <c r="G29" t="s" s="277">
        <v>260</v>
      </c>
      <c r="H29" s="312">
        <f>IF('Calculations'!BE21="","",VLOOKUP($D$14&amp;$D$16&amp;$D$18,'Parameters'!$AG$4:$AL$19,6,FALSE))</f>
        <v>4</v>
      </c>
      <c r="I29" t="s" s="280">
        <v>260</v>
      </c>
      <c r="J29" t="s" s="281">
        <f>IF('Calculations'!BE21="","","&gt; target")</f>
        <v>269</v>
      </c>
      <c r="K29" t="s" s="282">
        <f>IF(F29="","",IF(F29&lt;H29,"O","P"))</f>
        <v>262</v>
      </c>
      <c r="L29" s="230"/>
    </row>
    <row r="30" ht="14" customHeight="1">
      <c r="A30" s="210"/>
      <c r="B30" s="309"/>
      <c r="C30" t="s" s="275">
        <v>273</v>
      </c>
      <c r="D30" s="310">
        <f>'Calculations'!BD22</f>
        <v>0.859844082477397</v>
      </c>
      <c r="E30" t="s" s="277">
        <v>259</v>
      </c>
      <c r="F30" s="311">
        <f>IF('Calculations'!BE22="","",ROUND('Calculations'!BE22,2))</f>
        <v>4.8</v>
      </c>
      <c r="G30" t="s" s="277">
        <v>260</v>
      </c>
      <c r="H30" s="312">
        <f>IF('Calculations'!BE22="","",VLOOKUP($D$14&amp;$D$16&amp;$D$18,'Parameters'!$AG$4:$AL$19,6,FALSE))</f>
        <v>4</v>
      </c>
      <c r="I30" t="s" s="280">
        <v>260</v>
      </c>
      <c r="J30" t="s" s="281">
        <f>IF('Calculations'!BE22="","","&gt; target")</f>
        <v>269</v>
      </c>
      <c r="K30" t="s" s="282">
        <f>IF(F30="","",IF(F30&lt;H30,"O","P"))</f>
        <v>262</v>
      </c>
      <c r="L30" s="230"/>
    </row>
    <row r="31" ht="14" customHeight="1">
      <c r="A31" s="210"/>
      <c r="B31" s="309"/>
      <c r="C31" t="s" s="275">
        <v>274</v>
      </c>
      <c r="D31" t="s" s="313">
        <f>'Calculations'!BD23</f>
      </c>
      <c r="E31" t="s" s="277">
        <v>259</v>
      </c>
      <c r="F31" t="s" s="314">
        <f>IF('Calculations'!BE23="","",ROUND('Calculations'!BE23,2))</f>
      </c>
      <c r="G31" t="s" s="277">
        <v>260</v>
      </c>
      <c r="H31" t="s" s="314">
        <f>IF('Calculations'!BE23="","",VLOOKUP($D$14&amp;$D$16&amp;$D$18,'Parameters'!$AG$4:$AL$19,6,FALSE))</f>
      </c>
      <c r="I31" t="s" s="280">
        <v>260</v>
      </c>
      <c r="J31" t="s" s="281">
        <f>IF('Calculations'!BE23="","","&gt; target")</f>
      </c>
      <c r="K31" t="s" s="282">
        <f>IF(F31="","",IF(F31&lt;H31,"O","P"))</f>
      </c>
      <c r="L31" s="230"/>
    </row>
    <row r="32" ht="16" customHeight="1">
      <c r="A32" s="210"/>
      <c r="B32" s="315"/>
      <c r="C32" t="s" s="316">
        <v>275</v>
      </c>
      <c r="D32" t="s" s="317">
        <f>'Calculations'!BD24</f>
      </c>
      <c r="E32" t="s" s="318">
        <v>259</v>
      </c>
      <c r="F32" t="s" s="319">
        <f>IF('Calculations'!BE24="","",ROUND('Calculations'!BE24,2))</f>
      </c>
      <c r="G32" t="s" s="318">
        <v>260</v>
      </c>
      <c r="H32" t="s" s="319">
        <f>IF('Calculations'!BE24="","",VLOOKUP($D$14&amp;$D$16&amp;$D$18,'Parameters'!$AG$4:$AL$19,6,FALSE))</f>
      </c>
      <c r="I32" t="s" s="320">
        <v>260</v>
      </c>
      <c r="J32" t="s" s="321">
        <f>IF('Calculations'!BE24="","","&gt; target")</f>
      </c>
      <c r="K32" t="s" s="322">
        <f>IF(F32="","",IF(F32&lt;H32,"O","P"))</f>
      </c>
      <c r="L32" s="230"/>
    </row>
    <row r="33" ht="45" customHeight="1">
      <c r="A33" s="121"/>
      <c r="B33" t="s" s="323">
        <f>IF(AND(D14="moderate risk",D15="provided",D18="west"),"NOTE: Although in moderate risk location, shading has been provided to reduce solar gains.  As the largest glazed facade is West orientated, the less onerous Limiting Solar Gains targets have been used from High Risk location requirements.","")</f>
      </c>
      <c r="C33" s="324"/>
      <c r="D33" s="324"/>
      <c r="E33" s="324"/>
      <c r="F33" s="324"/>
      <c r="G33" s="324"/>
      <c r="H33" s="324"/>
      <c r="I33" s="324"/>
      <c r="J33" s="324"/>
      <c r="K33" s="325"/>
      <c r="L33" s="209"/>
    </row>
    <row r="34" ht="8" customHeight="1">
      <c r="A34" s="121"/>
      <c r="B34" s="326"/>
      <c r="C34" s="326"/>
      <c r="D34" s="326"/>
      <c r="E34" s="326"/>
      <c r="F34" s="326"/>
      <c r="G34" s="326"/>
      <c r="H34" s="326"/>
      <c r="I34" s="326"/>
      <c r="J34" s="326"/>
      <c r="K34" s="326"/>
      <c r="L34" s="209"/>
    </row>
    <row r="35" ht="8" customHeight="1">
      <c r="A35" s="130"/>
      <c r="B35" s="327"/>
      <c r="C35" s="328"/>
      <c r="D35" s="328"/>
      <c r="E35" s="328"/>
      <c r="F35" s="328"/>
      <c r="G35" s="328"/>
      <c r="H35" s="328"/>
      <c r="I35" s="328"/>
      <c r="J35" s="328"/>
      <c r="K35" s="329"/>
      <c r="L35" s="330"/>
    </row>
    <row r="36" ht="29" customHeight="1">
      <c r="A36" s="130"/>
      <c r="B36" t="s" s="331">
        <v>17</v>
      </c>
      <c r="C36" s="64"/>
      <c r="D36" s="64"/>
      <c r="E36" s="64"/>
      <c r="F36" s="64"/>
      <c r="G36" s="64"/>
      <c r="H36" s="64"/>
      <c r="I36" s="64"/>
      <c r="J36" s="64"/>
      <c r="K36" s="332"/>
      <c r="L36" s="330"/>
    </row>
    <row r="37" ht="42.5" customHeight="1">
      <c r="A37" s="130"/>
      <c r="B37" t="s" s="333">
        <v>276</v>
      </c>
      <c r="C37" s="68"/>
      <c r="D37" s="68"/>
      <c r="E37" s="68"/>
      <c r="F37" s="68"/>
      <c r="G37" s="68"/>
      <c r="H37" s="68"/>
      <c r="I37" s="68"/>
      <c r="J37" s="68"/>
      <c r="K37" s="334"/>
      <c r="L37" s="330"/>
    </row>
    <row r="38" ht="8" customHeight="1">
      <c r="A38" s="130"/>
      <c r="B38" s="335"/>
      <c r="C38" s="336"/>
      <c r="D38" s="336"/>
      <c r="E38" s="336"/>
      <c r="F38" s="336"/>
      <c r="G38" s="336"/>
      <c r="H38" s="336"/>
      <c r="I38" s="336"/>
      <c r="J38" s="336"/>
      <c r="K38" s="337"/>
      <c r="L38" s="330"/>
    </row>
    <row r="39" ht="13.55" customHeight="1">
      <c r="A39" s="130"/>
      <c r="B39" t="s" s="338">
        <v>277</v>
      </c>
      <c r="C39" s="336"/>
      <c r="D39" s="336"/>
      <c r="E39" s="336"/>
      <c r="F39" s="336"/>
      <c r="G39" s="336"/>
      <c r="H39" s="336"/>
      <c r="I39" s="336"/>
      <c r="J39" s="336"/>
      <c r="K39" s="337"/>
      <c r="L39" s="330"/>
    </row>
    <row r="40" ht="13.55" customHeight="1">
      <c r="A40" s="130"/>
      <c r="B40" t="s" s="339">
        <v>278</v>
      </c>
      <c r="C40" s="336"/>
      <c r="D40" s="336"/>
      <c r="E40" s="336"/>
      <c r="F40" s="336"/>
      <c r="G40" s="336"/>
      <c r="H40" s="336"/>
      <c r="I40" s="336"/>
      <c r="J40" s="336"/>
      <c r="K40" s="337"/>
      <c r="L40" s="330"/>
    </row>
    <row r="41" ht="8.5" customHeight="1">
      <c r="A41" s="130"/>
      <c r="B41" s="340"/>
      <c r="C41" s="341"/>
      <c r="D41" s="341"/>
      <c r="E41" s="341"/>
      <c r="F41" s="341"/>
      <c r="G41" s="341"/>
      <c r="H41" s="341"/>
      <c r="I41" s="341"/>
      <c r="J41" s="341"/>
      <c r="K41" s="342"/>
      <c r="L41" s="330"/>
    </row>
    <row r="42" ht="14.05" customHeight="1">
      <c r="A42" s="200"/>
      <c r="B42" s="343"/>
      <c r="C42" s="343"/>
      <c r="D42" s="343"/>
      <c r="E42" s="343"/>
      <c r="F42" s="343"/>
      <c r="G42" s="343"/>
      <c r="H42" s="343"/>
      <c r="I42" s="343"/>
      <c r="J42" s="343"/>
      <c r="K42" s="343"/>
      <c r="L42" s="344"/>
    </row>
  </sheetData>
  <mergeCells count="26">
    <mergeCell ref="C3:G3"/>
    <mergeCell ref="C4:G4"/>
    <mergeCell ref="C5:G5"/>
    <mergeCell ref="D9:G9"/>
    <mergeCell ref="D10:G10"/>
    <mergeCell ref="H12:K15"/>
    <mergeCell ref="D12:G12"/>
    <mergeCell ref="D14:E14"/>
    <mergeCell ref="B36:K36"/>
    <mergeCell ref="D11:G11"/>
    <mergeCell ref="D15:E15"/>
    <mergeCell ref="B33:K33"/>
    <mergeCell ref="D22:D23"/>
    <mergeCell ref="H24:I24"/>
    <mergeCell ref="F22:F23"/>
    <mergeCell ref="H22:H23"/>
    <mergeCell ref="I22:I23"/>
    <mergeCell ref="E22:E23"/>
    <mergeCell ref="G22:G23"/>
    <mergeCell ref="B37:K37"/>
    <mergeCell ref="B39:K39"/>
    <mergeCell ref="B40:K40"/>
    <mergeCell ref="D17:E17"/>
    <mergeCell ref="D16:E16"/>
    <mergeCell ref="J22:J23"/>
    <mergeCell ref="K22:K23"/>
  </mergeCells>
  <conditionalFormatting sqref="K20:K22 K24:K27">
    <cfRule type="cellIs" dxfId="4" priority="1" operator="equal" stopIfTrue="1">
      <formula>"O"</formula>
    </cfRule>
  </conditionalFormatting>
  <dataValidations count="4">
    <dataValidation type="list" allowBlank="1" showInputMessage="1" showErrorMessage="1" sqref="H3:H4">
      <formula1>"Yes,No"</formula1>
    </dataValidation>
    <dataValidation type="list" allowBlank="1" showInputMessage="1" showErrorMessage="1" sqref="H5">
      <formula1>"North,South,East,West"</formula1>
    </dataValidation>
    <dataValidation type="list" allowBlank="1" showInputMessage="1" showErrorMessage="1" sqref="D14">
      <formula1>"Moderate Risk,High Risk"</formula1>
    </dataValidation>
    <dataValidation type="list" allowBlank="1" showInputMessage="1" showErrorMessage="1" sqref="D15:E15">
      <formula1>"None,Provided"</formula1>
    </dataValidation>
  </dataValidations>
  <hyperlinks>
    <hyperlink ref="B40" r:id="rId1" location="" tooltip="" display="admin@futurehomes.org.uk"/>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legacyDrawing r:id="rId3"/>
</worksheet>
</file>

<file path=xl/worksheets/sheet6.xml><?xml version="1.0" encoding="utf-8"?>
<worksheet xmlns:r="http://schemas.openxmlformats.org/officeDocument/2006/relationships" xmlns="http://schemas.openxmlformats.org/spreadsheetml/2006/main">
  <dimension ref="A1:F61"/>
  <sheetViews>
    <sheetView workbookViewId="0" showGridLines="0" defaultGridColor="1"/>
  </sheetViews>
  <sheetFormatPr defaultColWidth="8.83333" defaultRowHeight="15" customHeight="1" outlineLevelRow="0" outlineLevelCol="0"/>
  <cols>
    <col min="1" max="1" width="3.35156" style="345" customWidth="1"/>
    <col min="2" max="2" width="5.67188" style="345" customWidth="1"/>
    <col min="3" max="3" width="40.6719" style="345" customWidth="1"/>
    <col min="4" max="6" width="18.8516" style="345" customWidth="1"/>
    <col min="7" max="16384" width="8.85156" style="345" customWidth="1"/>
  </cols>
  <sheetData>
    <row r="1" ht="8" customHeight="1">
      <c r="A1" s="7"/>
      <c r="B1" s="44"/>
      <c r="C1" s="43"/>
      <c r="D1" s="43"/>
      <c r="E1" s="43"/>
      <c r="F1" s="45"/>
    </row>
    <row r="2" ht="21" customHeight="1">
      <c r="A2" s="46"/>
      <c r="B2" t="s" s="346">
        <v>280</v>
      </c>
      <c r="C2" s="47"/>
      <c r="D2" s="47"/>
      <c r="E2" s="47"/>
      <c r="F2" s="49"/>
    </row>
    <row r="3" ht="15" customHeight="1">
      <c r="A3" s="46"/>
      <c r="B3" s="48"/>
      <c r="C3" s="47"/>
      <c r="D3" s="47"/>
      <c r="E3" s="47"/>
      <c r="F3" s="49"/>
    </row>
    <row r="4" ht="16" customHeight="1">
      <c r="A4" s="46"/>
      <c r="B4" t="s" s="347">
        <v>281</v>
      </c>
      <c r="C4" s="348"/>
      <c r="D4" s="348"/>
      <c r="E4" s="348"/>
      <c r="F4" s="349"/>
    </row>
    <row r="5" ht="15" customHeight="1">
      <c r="A5" s="350"/>
      <c r="B5" s="351">
        <v>1.1</v>
      </c>
      <c r="C5" t="s" s="352">
        <v>282</v>
      </c>
      <c r="D5" s="353"/>
      <c r="E5" s="353"/>
      <c r="F5" s="354"/>
    </row>
    <row r="6" ht="15" customHeight="1">
      <c r="A6" s="350"/>
      <c r="B6" t="s" s="355">
        <v>283</v>
      </c>
      <c r="C6" s="356"/>
      <c r="D6" s="357"/>
      <c r="E6" s="358"/>
      <c r="F6" s="359"/>
    </row>
    <row r="7" ht="15" customHeight="1">
      <c r="A7" s="350"/>
      <c r="B7" t="s" s="355">
        <v>284</v>
      </c>
      <c r="C7" s="356"/>
      <c r="D7" s="357"/>
      <c r="E7" s="358"/>
      <c r="F7" s="359"/>
    </row>
    <row r="8" ht="15" customHeight="1">
      <c r="A8" s="350"/>
      <c r="B8" t="s" s="355">
        <v>285</v>
      </c>
      <c r="C8" s="356"/>
      <c r="D8" s="357"/>
      <c r="E8" s="358"/>
      <c r="F8" s="359"/>
    </row>
    <row r="9" ht="15" customHeight="1">
      <c r="A9" s="350"/>
      <c r="B9" t="s" s="355">
        <v>286</v>
      </c>
      <c r="C9" s="356"/>
      <c r="D9" s="357"/>
      <c r="E9" s="358"/>
      <c r="F9" s="359"/>
    </row>
    <row r="10" ht="15" customHeight="1">
      <c r="A10" s="350"/>
      <c r="B10" t="s" s="355">
        <v>287</v>
      </c>
      <c r="C10" s="356"/>
      <c r="D10" s="357"/>
      <c r="E10" s="358"/>
      <c r="F10" s="359"/>
    </row>
    <row r="11" ht="15" customHeight="1">
      <c r="A11" s="350"/>
      <c r="B11" t="s" s="355">
        <v>288</v>
      </c>
      <c r="C11" s="356"/>
      <c r="D11" s="357"/>
      <c r="E11" s="358"/>
      <c r="F11" s="359"/>
    </row>
    <row r="12" ht="15" customHeight="1">
      <c r="A12" s="350"/>
      <c r="B12" t="s" s="355">
        <v>289</v>
      </c>
      <c r="C12" s="356"/>
      <c r="D12" s="357"/>
      <c r="E12" s="358"/>
      <c r="F12" s="359"/>
    </row>
    <row r="13" ht="15" customHeight="1">
      <c r="A13" s="350"/>
      <c r="B13" s="351">
        <v>1.2</v>
      </c>
      <c r="C13" t="s" s="352">
        <v>290</v>
      </c>
      <c r="D13" s="353"/>
      <c r="E13" s="353"/>
      <c r="F13" s="354"/>
    </row>
    <row r="14" ht="15" customHeight="1">
      <c r="A14" s="350"/>
      <c r="B14" t="s" s="355">
        <v>291</v>
      </c>
      <c r="C14" s="356"/>
      <c r="D14" s="357"/>
      <c r="E14" s="358"/>
      <c r="F14" s="359"/>
    </row>
    <row r="15" ht="15" customHeight="1">
      <c r="A15" s="350"/>
      <c r="B15" t="s" s="355">
        <v>232</v>
      </c>
      <c r="C15" s="356"/>
      <c r="D15" s="357"/>
      <c r="E15" s="358"/>
      <c r="F15" s="359"/>
    </row>
    <row r="16" ht="15" customHeight="1">
      <c r="A16" s="350"/>
      <c r="B16" t="s" s="355">
        <v>292</v>
      </c>
      <c r="C16" s="356"/>
      <c r="D16" s="357"/>
      <c r="E16" s="358"/>
      <c r="F16" s="359"/>
    </row>
    <row r="17" ht="15" customHeight="1">
      <c r="A17" s="350"/>
      <c r="B17" t="s" s="355">
        <v>293</v>
      </c>
      <c r="C17" s="356"/>
      <c r="D17" s="357"/>
      <c r="E17" s="358"/>
      <c r="F17" s="359"/>
    </row>
    <row r="18" ht="15" customHeight="1">
      <c r="A18" s="350"/>
      <c r="B18" t="s" s="355">
        <v>287</v>
      </c>
      <c r="C18" s="356"/>
      <c r="D18" s="357"/>
      <c r="E18" s="358"/>
      <c r="F18" s="359"/>
    </row>
    <row r="19" ht="15" customHeight="1">
      <c r="A19" s="350"/>
      <c r="B19" t="s" s="355">
        <v>294</v>
      </c>
      <c r="C19" s="356"/>
      <c r="D19" s="357"/>
      <c r="E19" s="358"/>
      <c r="F19" s="359"/>
    </row>
    <row r="20" ht="15" customHeight="1">
      <c r="A20" s="350"/>
      <c r="B20" t="s" s="355">
        <v>295</v>
      </c>
      <c r="C20" s="356"/>
      <c r="D20" s="357"/>
      <c r="E20" s="358"/>
      <c r="F20" s="359"/>
    </row>
    <row r="21" ht="15" customHeight="1">
      <c r="A21" s="46"/>
      <c r="B21" s="360"/>
      <c r="C21" s="361"/>
      <c r="D21" s="361"/>
      <c r="E21" s="361"/>
      <c r="F21" s="362"/>
    </row>
    <row r="22" ht="16" customHeight="1">
      <c r="A22" s="46"/>
      <c r="B22" t="s" s="347">
        <v>296</v>
      </c>
      <c r="C22" s="348"/>
      <c r="D22" s="348"/>
      <c r="E22" s="348"/>
      <c r="F22" s="349"/>
    </row>
    <row r="23" ht="15" customHeight="1">
      <c r="A23" s="350"/>
      <c r="B23" t="s" s="363">
        <v>297</v>
      </c>
      <c r="C23" t="s" s="352">
        <v>298</v>
      </c>
      <c r="D23" s="353"/>
      <c r="E23" s="353"/>
      <c r="F23" s="354"/>
    </row>
    <row r="24" ht="15" customHeight="1">
      <c r="A24" s="350"/>
      <c r="B24" t="s" s="355">
        <v>299</v>
      </c>
      <c r="C24" s="356"/>
      <c r="D24" t="s" s="364">
        <f>'RESULTS'!D14</f>
        <v>300</v>
      </c>
      <c r="E24" s="358"/>
      <c r="F24" s="359"/>
    </row>
    <row r="25" ht="15" customHeight="1">
      <c r="A25" s="350"/>
      <c r="B25" t="s" s="355">
        <v>301</v>
      </c>
      <c r="C25" s="356"/>
      <c r="D25" t="s" s="364">
        <v>302</v>
      </c>
      <c r="E25" s="358"/>
      <c r="F25" s="359"/>
    </row>
    <row r="26" ht="15" customHeight="1">
      <c r="A26" s="350"/>
      <c r="B26" t="s" s="363">
        <v>303</v>
      </c>
      <c r="C26" t="s" s="352">
        <v>304</v>
      </c>
      <c r="D26" s="353"/>
      <c r="E26" s="353"/>
      <c r="F26" s="354"/>
    </row>
    <row r="27" ht="13.55" customHeight="1">
      <c r="A27" s="350"/>
      <c r="B27" t="s" s="365">
        <v>305</v>
      </c>
      <c r="C27" s="366"/>
      <c r="D27" t="s" s="367">
        <v>306</v>
      </c>
      <c r="E27" s="368"/>
      <c r="F27" t="s" s="369">
        <v>254</v>
      </c>
    </row>
    <row r="28" ht="17" customHeight="1">
      <c r="A28" s="350"/>
      <c r="B28" s="370"/>
      <c r="C28" s="371"/>
      <c r="D28" t="s" s="372">
        <v>307</v>
      </c>
      <c r="E28" t="s" s="372">
        <v>260</v>
      </c>
      <c r="F28" t="s" s="372">
        <v>260</v>
      </c>
    </row>
    <row r="29" ht="15" customHeight="1">
      <c r="A29" s="350"/>
      <c r="B29" t="s" s="355">
        <v>308</v>
      </c>
      <c r="C29" s="356"/>
      <c r="D29" s="373">
        <f>'RESULTS'!D21</f>
        <v>19.895</v>
      </c>
      <c r="E29" s="374">
        <f>'RESULTS'!F21/100</f>
        <v>0.1474</v>
      </c>
      <c r="F29" s="375">
        <f>'RESULTS'!H21/100</f>
        <v>0.18</v>
      </c>
    </row>
    <row r="30" ht="15" customHeight="1">
      <c r="A30" s="350"/>
      <c r="B30" t="s" s="355">
        <v>309</v>
      </c>
      <c r="C30" s="356"/>
      <c r="D30" s="373">
        <f>'RESULTS'!D22</f>
        <v>10.154</v>
      </c>
      <c r="E30" s="374">
        <f>'RESULTS'!F22/100</f>
        <v>0.2986</v>
      </c>
      <c r="F30" s="375">
        <f>'RESULTS'!H22/100</f>
        <v>0.37</v>
      </c>
    </row>
    <row r="31" ht="15" customHeight="1">
      <c r="A31" s="350"/>
      <c r="B31" t="s" s="355">
        <v>310</v>
      </c>
      <c r="C31" s="356"/>
      <c r="D31" s="376"/>
      <c r="E31" s="377"/>
      <c r="F31" s="378"/>
    </row>
    <row r="32" ht="15" customHeight="1">
      <c r="A32" s="350"/>
      <c r="B32" t="s" s="355">
        <v>311</v>
      </c>
      <c r="C32" s="356"/>
      <c r="D32" s="373">
        <f>'RESULTS'!D26</f>
        <v>12.5075616732233</v>
      </c>
      <c r="E32" s="374">
        <f>'RESULTS'!F26/100</f>
        <v>0.0926</v>
      </c>
      <c r="F32" s="375">
        <f>'RESULTS'!H26/100</f>
        <v>0.09</v>
      </c>
    </row>
    <row r="33" ht="15" customHeight="1">
      <c r="A33" s="350"/>
      <c r="B33" t="s" s="355">
        <v>312</v>
      </c>
      <c r="C33" s="356"/>
      <c r="D33" s="373">
        <f>'RESULTS'!D27</f>
        <v>12.5075616732233</v>
      </c>
      <c r="E33" s="374">
        <f>'RESULTS'!F27/100</f>
        <v>0.6287</v>
      </c>
      <c r="F33" s="375">
        <f>'RESULTS'!H27/100</f>
        <v>0.55</v>
      </c>
    </row>
    <row r="34" ht="15" customHeight="1">
      <c r="A34" s="350"/>
      <c r="B34" t="s" s="355">
        <v>313</v>
      </c>
      <c r="C34" s="356"/>
      <c r="D34" s="373">
        <f>'RESULTS'!D28</f>
        <v>0.534708761477574</v>
      </c>
      <c r="E34" s="374">
        <f>IF('RESULTS'!F28="","",'RESULTS'!F28/100)</f>
        <v>0.0491</v>
      </c>
      <c r="F34" s="375">
        <f>IF('RESULTS'!H28="","",'RESULTS'!H28/100)</f>
        <v>0.04</v>
      </c>
    </row>
    <row r="35" ht="15" customHeight="1">
      <c r="A35" s="350"/>
      <c r="B35" t="s" s="355">
        <v>314</v>
      </c>
      <c r="C35" s="356"/>
      <c r="D35" s="373">
        <f>'RESULTS'!D29</f>
        <v>0.451764329932711</v>
      </c>
      <c r="E35" s="374">
        <f>IF('RESULTS'!F29="","",'RESULTS'!F29/100)</f>
        <v>0.0456</v>
      </c>
      <c r="F35" s="375">
        <f>IF('RESULTS'!H29="","",'RESULTS'!H29/100)</f>
        <v>0.04</v>
      </c>
    </row>
    <row r="36" ht="15" customHeight="1">
      <c r="A36" s="350"/>
      <c r="B36" t="s" s="355">
        <v>315</v>
      </c>
      <c r="C36" s="356"/>
      <c r="D36" s="373">
        <f>'RESULTS'!D30</f>
        <v>0.859844082477397</v>
      </c>
      <c r="E36" s="374">
        <f>IF('RESULTS'!F30="","",'RESULTS'!F30/100)</f>
        <v>0.048</v>
      </c>
      <c r="F36" s="375">
        <f>IF('RESULTS'!H30="","",'RESULTS'!H30/100)</f>
        <v>0.04</v>
      </c>
    </row>
    <row r="37" ht="15" customHeight="1">
      <c r="A37" s="350"/>
      <c r="B37" t="s" s="355">
        <v>316</v>
      </c>
      <c r="C37" s="356"/>
      <c r="D37" t="s" s="379">
        <f>'RESULTS'!D31</f>
      </c>
      <c r="E37" t="s" s="379">
        <f>IF('RESULTS'!F31="","",'RESULTS'!F31/100)</f>
      </c>
      <c r="F37" t="s" s="379">
        <f>IF('RESULTS'!H31="","",'RESULTS'!H31/100)</f>
      </c>
    </row>
    <row r="38" ht="15" customHeight="1">
      <c r="A38" s="350"/>
      <c r="B38" t="s" s="355">
        <v>317</v>
      </c>
      <c r="C38" s="356"/>
      <c r="D38" t="s" s="379">
        <f>'RESULTS'!D32</f>
      </c>
      <c r="E38" t="s" s="379">
        <f>IF('RESULTS'!F32="","",'RESULTS'!F32/100)</f>
      </c>
      <c r="F38" t="s" s="379">
        <f>IF('RESULTS'!H32="","",'RESULTS'!H32/100)</f>
      </c>
    </row>
    <row r="39" ht="15" customHeight="1">
      <c r="A39" s="350"/>
      <c r="B39" t="s" s="363">
        <v>318</v>
      </c>
      <c r="C39" t="s" s="352">
        <v>319</v>
      </c>
      <c r="D39" s="353"/>
      <c r="E39" s="353"/>
      <c r="F39" s="354"/>
    </row>
    <row r="40" ht="22" customHeight="1">
      <c r="A40" s="350"/>
      <c r="B40" t="s" s="364">
        <v>291</v>
      </c>
      <c r="C40" s="356"/>
      <c r="D40" s="380"/>
      <c r="E40" s="381"/>
      <c r="F40" s="382"/>
    </row>
    <row r="41" ht="22" customHeight="1">
      <c r="A41" s="350"/>
      <c r="B41" t="s" s="364">
        <v>320</v>
      </c>
      <c r="C41" s="356"/>
      <c r="D41" s="380"/>
      <c r="E41" s="381"/>
      <c r="F41" s="382"/>
    </row>
    <row r="42" ht="22" customHeight="1">
      <c r="A42" s="350"/>
      <c r="B42" t="s" s="364">
        <v>321</v>
      </c>
      <c r="C42" s="356"/>
      <c r="D42" s="380"/>
      <c r="E42" s="381"/>
      <c r="F42" s="382"/>
    </row>
    <row r="43" ht="22" customHeight="1">
      <c r="A43" s="350"/>
      <c r="B43" t="s" s="364">
        <v>322</v>
      </c>
      <c r="C43" s="356"/>
      <c r="D43" s="380"/>
      <c r="E43" s="381"/>
      <c r="F43" s="382"/>
    </row>
    <row r="44" ht="22" customHeight="1">
      <c r="A44" s="350"/>
      <c r="B44" t="s" s="364">
        <v>323</v>
      </c>
      <c r="C44" s="356"/>
      <c r="D44" s="383"/>
      <c r="E44" s="381"/>
      <c r="F44" s="382"/>
    </row>
    <row r="45" ht="8" customHeight="1">
      <c r="A45" s="46"/>
      <c r="B45" s="360"/>
      <c r="C45" s="361"/>
      <c r="D45" s="361"/>
      <c r="E45" s="361"/>
      <c r="F45" s="362"/>
    </row>
    <row r="46" ht="16" customHeight="1">
      <c r="A46" s="46"/>
      <c r="B46" t="s" s="347">
        <v>324</v>
      </c>
      <c r="C46" s="348"/>
      <c r="D46" s="348"/>
      <c r="E46" s="348"/>
      <c r="F46" s="349"/>
    </row>
    <row r="47" ht="15" customHeight="1">
      <c r="A47" s="350"/>
      <c r="B47" s="351">
        <v>3.1</v>
      </c>
      <c r="C47" t="s" s="352">
        <v>325</v>
      </c>
      <c r="D47" s="353"/>
      <c r="E47" s="353"/>
      <c r="F47" s="354"/>
    </row>
    <row r="48" ht="28.25" customHeight="1">
      <c r="A48" s="350"/>
      <c r="B48" t="s" s="384">
        <v>326</v>
      </c>
      <c r="C48" s="385"/>
      <c r="D48" s="386"/>
      <c r="E48" t="s" s="387">
        <v>138</v>
      </c>
      <c r="F48" t="s" s="387">
        <v>199</v>
      </c>
    </row>
    <row r="49" ht="33" customHeight="1">
      <c r="A49" s="350"/>
      <c r="B49" t="s" s="364">
        <v>327</v>
      </c>
      <c r="C49" s="356"/>
      <c r="D49" s="380"/>
      <c r="E49" s="381"/>
      <c r="F49" s="382"/>
    </row>
    <row r="50" ht="33" customHeight="1">
      <c r="A50" s="350"/>
      <c r="B50" t="s" s="364">
        <v>328</v>
      </c>
      <c r="C50" s="356"/>
      <c r="D50" s="380"/>
      <c r="E50" s="381"/>
      <c r="F50" s="382"/>
    </row>
    <row r="51" ht="33" customHeight="1">
      <c r="A51" s="350"/>
      <c r="B51" t="s" s="364">
        <v>329</v>
      </c>
      <c r="C51" s="356"/>
      <c r="D51" s="380"/>
      <c r="E51" s="381"/>
      <c r="F51" s="382"/>
    </row>
    <row r="52" ht="33" customHeight="1">
      <c r="A52" s="350"/>
      <c r="B52" t="s" s="364">
        <v>330</v>
      </c>
      <c r="C52" s="356"/>
      <c r="D52" s="380"/>
      <c r="E52" s="381"/>
      <c r="F52" s="382"/>
    </row>
    <row r="53" ht="15" customHeight="1">
      <c r="A53" s="350"/>
      <c r="B53" s="351">
        <v>3.2</v>
      </c>
      <c r="C53" t="s" s="352">
        <v>331</v>
      </c>
      <c r="D53" s="353"/>
      <c r="E53" s="353"/>
      <c r="F53" s="354"/>
    </row>
    <row r="54" ht="28.25" customHeight="1">
      <c r="A54" s="350"/>
      <c r="B54" t="s" s="384">
        <v>332</v>
      </c>
      <c r="C54" s="385"/>
      <c r="D54" s="386"/>
      <c r="E54" t="s" s="387">
        <v>138</v>
      </c>
      <c r="F54" t="s" s="387">
        <v>199</v>
      </c>
    </row>
    <row r="55" ht="33" customHeight="1">
      <c r="A55" s="350"/>
      <c r="B55" t="s" s="364">
        <v>333</v>
      </c>
      <c r="C55" s="356"/>
      <c r="D55" s="380"/>
      <c r="E55" s="381"/>
      <c r="F55" s="382"/>
    </row>
    <row r="56" ht="33" customHeight="1">
      <c r="A56" s="350"/>
      <c r="B56" t="s" s="364">
        <v>334</v>
      </c>
      <c r="C56" s="356"/>
      <c r="D56" s="380"/>
      <c r="E56" s="381"/>
      <c r="F56" s="382"/>
    </row>
    <row r="57" ht="33" customHeight="1">
      <c r="A57" s="350"/>
      <c r="B57" t="s" s="364">
        <v>335</v>
      </c>
      <c r="C57" s="356"/>
      <c r="D57" s="380"/>
      <c r="E57" s="381"/>
      <c r="F57" s="382"/>
    </row>
    <row r="58" ht="33" customHeight="1">
      <c r="A58" s="350"/>
      <c r="B58" t="s" s="364">
        <v>322</v>
      </c>
      <c r="C58" s="356"/>
      <c r="D58" s="380"/>
      <c r="E58" s="381"/>
      <c r="F58" s="382"/>
    </row>
    <row r="59" ht="33" customHeight="1">
      <c r="A59" s="350"/>
      <c r="B59" t="s" s="364">
        <v>336</v>
      </c>
      <c r="C59" s="356"/>
      <c r="D59" s="380"/>
      <c r="E59" s="381"/>
      <c r="F59" s="382"/>
    </row>
    <row r="60" ht="15" customHeight="1">
      <c r="A60" s="46"/>
      <c r="B60" s="360"/>
      <c r="C60" s="361"/>
      <c r="D60" s="361"/>
      <c r="E60" s="361"/>
      <c r="F60" s="362"/>
    </row>
    <row r="61" ht="15" customHeight="1">
      <c r="A61" s="108"/>
      <c r="B61" t="s" s="388">
        <v>337</v>
      </c>
      <c r="C61" s="109"/>
      <c r="D61" s="109"/>
      <c r="E61" s="109"/>
      <c r="F61" s="112"/>
    </row>
  </sheetData>
  <mergeCells count="35">
    <mergeCell ref="B54:D54"/>
    <mergeCell ref="B48:D48"/>
    <mergeCell ref="D27:E27"/>
    <mergeCell ref="B27:C28"/>
    <mergeCell ref="D31:F31"/>
    <mergeCell ref="D43:F43"/>
    <mergeCell ref="D44:F44"/>
    <mergeCell ref="D49:F49"/>
    <mergeCell ref="D50:F50"/>
    <mergeCell ref="D51:F51"/>
    <mergeCell ref="D52:F52"/>
    <mergeCell ref="D6:F6"/>
    <mergeCell ref="D7:F7"/>
    <mergeCell ref="D8:F8"/>
    <mergeCell ref="D9:F9"/>
    <mergeCell ref="D10:F10"/>
    <mergeCell ref="D11:F11"/>
    <mergeCell ref="D12:F12"/>
    <mergeCell ref="D40:F40"/>
    <mergeCell ref="D41:F41"/>
    <mergeCell ref="D42:F42"/>
    <mergeCell ref="D24:F24"/>
    <mergeCell ref="D25:F25"/>
    <mergeCell ref="D14:F14"/>
    <mergeCell ref="D15:F15"/>
    <mergeCell ref="D16:F16"/>
    <mergeCell ref="D17:F17"/>
    <mergeCell ref="D18:F18"/>
    <mergeCell ref="D19:F19"/>
    <mergeCell ref="D20:F20"/>
    <mergeCell ref="D55:F55"/>
    <mergeCell ref="D56:F56"/>
    <mergeCell ref="D57:F57"/>
    <mergeCell ref="D58:F58"/>
    <mergeCell ref="D59:F59"/>
  </mergeCells>
  <pageMargins left="0.7" right="0.7" top="0.75" bottom="0.75" header="0.3" footer="0.3"/>
  <pageSetup firstPageNumber="1" fitToHeight="1" fitToWidth="1" scale="72" useFirstPageNumber="0" orientation="portrait" pageOrder="downThenOver"/>
  <headerFooter>
    <oddFooter>&amp;C&amp;"Helvetica Neue,Regular"&amp;12&amp;K000000&amp;P</oddFooter>
  </headerFooter>
</worksheet>
</file>

<file path=xl/worksheets/sheet7.xml><?xml version="1.0" encoding="utf-8"?>
<worksheet xmlns:r="http://schemas.openxmlformats.org/officeDocument/2006/relationships" xmlns="http://schemas.openxmlformats.org/spreadsheetml/2006/main">
  <sheetPr>
    <pageSetUpPr fitToPage="1"/>
  </sheetPr>
  <dimension ref="A1:AL25"/>
  <sheetViews>
    <sheetView workbookViewId="0" showGridLines="0" defaultGridColor="1"/>
  </sheetViews>
  <sheetFormatPr defaultColWidth="8.83333" defaultRowHeight="15" customHeight="1" outlineLevelRow="0" outlineLevelCol="0"/>
  <cols>
    <col min="1" max="1" width="2.67188" style="389" customWidth="1"/>
    <col min="2" max="2" width="14" style="389" customWidth="1"/>
    <col min="3" max="3" width="14.1719" style="389" customWidth="1"/>
    <col min="4" max="4" width="21.8516" style="389" customWidth="1"/>
    <col min="5" max="5" width="14.1719" style="389" customWidth="1"/>
    <col min="6" max="6" width="21.8516" style="389" customWidth="1"/>
    <col min="7" max="7" width="3.85156" style="389" customWidth="1"/>
    <col min="8" max="8" width="26.1719" style="389" customWidth="1"/>
    <col min="9" max="9" width="7.17188" style="389" customWidth="1"/>
    <col min="10" max="10" width="26.1719" style="389" customWidth="1"/>
    <col min="11" max="11" width="7.17188" style="389" customWidth="1"/>
    <col min="12" max="12" width="26.1719" style="389" customWidth="1"/>
    <col min="13" max="38" width="8.85156" style="389" customWidth="1"/>
    <col min="39" max="16384" width="8.85156" style="389" customWidth="1"/>
  </cols>
  <sheetData>
    <row r="1" ht="21" customHeight="1">
      <c r="A1" s="114"/>
      <c r="B1" t="s" s="390">
        <v>339</v>
      </c>
      <c r="C1" s="391"/>
      <c r="D1" s="391"/>
      <c r="E1" s="391"/>
      <c r="F1" s="391"/>
      <c r="G1" s="391"/>
      <c r="H1" s="116"/>
      <c r="I1" s="116"/>
      <c r="J1" s="116"/>
      <c r="K1" s="116"/>
      <c r="L1" s="116"/>
      <c r="M1" s="43"/>
      <c r="N1" s="43"/>
      <c r="O1" s="43"/>
      <c r="P1" s="43"/>
      <c r="Q1" s="43"/>
      <c r="R1" s="43"/>
      <c r="S1" s="43"/>
      <c r="T1" s="43"/>
      <c r="U1" s="43"/>
      <c r="V1" s="43"/>
      <c r="W1" s="43"/>
      <c r="X1" s="43"/>
      <c r="Y1" s="43"/>
      <c r="Z1" s="43"/>
      <c r="AA1" s="43"/>
      <c r="AB1" s="43"/>
      <c r="AC1" s="43"/>
      <c r="AD1" s="43"/>
      <c r="AE1" s="43"/>
      <c r="AF1" s="43"/>
      <c r="AG1" s="43"/>
      <c r="AH1" s="43"/>
      <c r="AI1" s="43"/>
      <c r="AJ1" s="43"/>
      <c r="AK1" s="43"/>
      <c r="AL1" s="45"/>
    </row>
    <row r="2" ht="13.75" customHeight="1">
      <c r="A2" s="121"/>
      <c r="B2" s="392"/>
      <c r="C2" s="392"/>
      <c r="D2" s="392"/>
      <c r="E2" s="392"/>
      <c r="F2" s="392"/>
      <c r="G2" s="393"/>
      <c r="H2" s="394"/>
      <c r="I2" s="394"/>
      <c r="J2" s="394"/>
      <c r="K2" s="394"/>
      <c r="L2" s="394"/>
      <c r="M2" s="47"/>
      <c r="N2" s="47"/>
      <c r="O2" s="47"/>
      <c r="P2" s="47"/>
      <c r="Q2" s="47"/>
      <c r="R2" s="47"/>
      <c r="S2" s="47"/>
      <c r="T2" s="47"/>
      <c r="U2" s="47"/>
      <c r="V2" s="47"/>
      <c r="W2" s="47"/>
      <c r="X2" s="47"/>
      <c r="Y2" s="47"/>
      <c r="Z2" s="47"/>
      <c r="AA2" s="47"/>
      <c r="AB2" s="47"/>
      <c r="AC2" s="47"/>
      <c r="AD2" s="47"/>
      <c r="AE2" s="47"/>
      <c r="AF2" s="47"/>
      <c r="AG2" s="47"/>
      <c r="AH2" s="47"/>
      <c r="AI2" s="47"/>
      <c r="AJ2" s="47"/>
      <c r="AK2" s="47"/>
      <c r="AL2" s="49"/>
    </row>
    <row r="3" ht="19" customHeight="1">
      <c r="A3" s="395"/>
      <c r="B3" t="s" s="396">
        <v>340</v>
      </c>
      <c r="C3" s="397"/>
      <c r="D3" s="397"/>
      <c r="E3" s="397"/>
      <c r="F3" s="397"/>
      <c r="G3" s="398"/>
      <c r="H3" t="s" s="399">
        <v>341</v>
      </c>
      <c r="I3" s="400"/>
      <c r="J3" s="400"/>
      <c r="K3" s="400"/>
      <c r="L3" s="400"/>
      <c r="M3" s="401"/>
      <c r="N3" s="47"/>
      <c r="O3" s="47"/>
      <c r="P3" s="47"/>
      <c r="Q3" s="47"/>
      <c r="R3" s="47"/>
      <c r="S3" s="47"/>
      <c r="T3" s="47"/>
      <c r="U3" s="47"/>
      <c r="V3" s="47"/>
      <c r="W3" s="47"/>
      <c r="X3" s="47"/>
      <c r="Y3" s="47"/>
      <c r="Z3" s="47"/>
      <c r="AA3" s="47"/>
      <c r="AB3" s="47"/>
      <c r="AC3" s="47"/>
      <c r="AD3" s="47"/>
      <c r="AE3" s="47"/>
      <c r="AF3" s="47"/>
      <c r="AG3" s="47"/>
      <c r="AH3" s="47"/>
      <c r="AI3" s="47"/>
      <c r="AJ3" s="47"/>
      <c r="AK3" s="47"/>
      <c r="AL3" s="49"/>
    </row>
    <row r="4" ht="13.55" customHeight="1">
      <c r="A4" s="121"/>
      <c r="B4" s="402"/>
      <c r="C4" s="402"/>
      <c r="D4" s="402"/>
      <c r="E4" s="402"/>
      <c r="F4" s="402"/>
      <c r="G4" s="123"/>
      <c r="H4" s="402"/>
      <c r="I4" s="402"/>
      <c r="J4" s="402"/>
      <c r="K4" s="402"/>
      <c r="L4" s="402"/>
      <c r="M4" s="47"/>
      <c r="N4" s="47"/>
      <c r="O4" s="47"/>
      <c r="P4" s="47"/>
      <c r="Q4" s="47"/>
      <c r="R4" s="47"/>
      <c r="S4" s="47"/>
      <c r="T4" s="47"/>
      <c r="U4" s="47"/>
      <c r="V4" s="47"/>
      <c r="W4" s="47"/>
      <c r="X4" s="47"/>
      <c r="Y4" s="47"/>
      <c r="Z4" s="47"/>
      <c r="AA4" s="47"/>
      <c r="AB4" s="47"/>
      <c r="AC4" s="47"/>
      <c r="AD4" s="47"/>
      <c r="AE4" s="47"/>
      <c r="AF4" s="47"/>
      <c r="AG4" s="47"/>
      <c r="AH4" s="47"/>
      <c r="AI4" s="47"/>
      <c r="AJ4" s="47"/>
      <c r="AK4" s="47"/>
      <c r="AL4" s="49"/>
    </row>
    <row r="5" ht="21.5" customHeight="1">
      <c r="A5" s="395"/>
      <c r="B5" t="s" s="403">
        <v>342</v>
      </c>
      <c r="C5" t="s" s="404">
        <v>343</v>
      </c>
      <c r="D5" s="405"/>
      <c r="E5" s="405"/>
      <c r="F5" s="406"/>
      <c r="G5" s="398"/>
      <c r="H5" t="s" s="407">
        <v>344</v>
      </c>
      <c r="I5" t="s" s="404">
        <v>345</v>
      </c>
      <c r="J5" s="405"/>
      <c r="K5" s="405"/>
      <c r="L5" s="406"/>
      <c r="M5" s="401"/>
      <c r="N5" s="47"/>
      <c r="O5" s="47"/>
      <c r="P5" s="47"/>
      <c r="Q5" s="47"/>
      <c r="R5" s="47"/>
      <c r="S5" s="47"/>
      <c r="T5" s="47"/>
      <c r="U5" s="47"/>
      <c r="V5" s="47"/>
      <c r="W5" s="47"/>
      <c r="X5" s="47"/>
      <c r="Y5" s="47"/>
      <c r="Z5" s="47"/>
      <c r="AA5" s="47"/>
      <c r="AB5" s="47"/>
      <c r="AC5" s="47"/>
      <c r="AD5" s="47"/>
      <c r="AE5" s="47"/>
      <c r="AF5" s="47"/>
      <c r="AG5" s="47"/>
      <c r="AH5" s="47"/>
      <c r="AI5" s="47"/>
      <c r="AJ5" s="47"/>
      <c r="AK5" s="47"/>
      <c r="AL5" s="49"/>
    </row>
    <row r="6" ht="13.55" customHeight="1">
      <c r="A6" s="395"/>
      <c r="B6" s="408"/>
      <c r="C6" t="s" s="409">
        <v>346</v>
      </c>
      <c r="D6" s="410"/>
      <c r="E6" t="s" s="411">
        <v>347</v>
      </c>
      <c r="F6" s="412"/>
      <c r="G6" s="398"/>
      <c r="H6" s="413"/>
      <c r="I6" t="s" s="409">
        <v>346</v>
      </c>
      <c r="J6" s="410"/>
      <c r="K6" t="s" s="411">
        <v>347</v>
      </c>
      <c r="L6" s="412"/>
      <c r="M6" s="401"/>
      <c r="N6" s="47"/>
      <c r="O6" s="47"/>
      <c r="P6" s="47"/>
      <c r="Q6" s="47"/>
      <c r="R6" s="47"/>
      <c r="S6" s="47"/>
      <c r="T6" s="47"/>
      <c r="U6" s="47"/>
      <c r="V6" s="47"/>
      <c r="W6" s="47"/>
      <c r="X6" s="47"/>
      <c r="Y6" s="47"/>
      <c r="Z6" s="47"/>
      <c r="AA6" s="47"/>
      <c r="AB6" s="47"/>
      <c r="AC6" s="47"/>
      <c r="AD6" s="47"/>
      <c r="AE6" s="47"/>
      <c r="AF6" s="47"/>
      <c r="AG6" s="47"/>
      <c r="AH6" s="47"/>
      <c r="AI6" s="47"/>
      <c r="AJ6" s="47"/>
      <c r="AK6" s="47"/>
      <c r="AL6" s="49"/>
    </row>
    <row r="7" ht="48" customHeight="1">
      <c r="A7" s="395"/>
      <c r="B7" t="s" s="414">
        <v>248</v>
      </c>
      <c r="C7" t="s" s="414">
        <v>348</v>
      </c>
      <c r="D7" t="s" s="414">
        <v>349</v>
      </c>
      <c r="E7" t="s" s="414">
        <v>348</v>
      </c>
      <c r="F7" t="s" s="414">
        <v>349</v>
      </c>
      <c r="G7" s="398"/>
      <c r="H7" t="s" s="415">
        <v>350</v>
      </c>
      <c r="I7" t="s" s="416">
        <v>351</v>
      </c>
      <c r="J7" s="417"/>
      <c r="K7" t="s" s="416">
        <v>351</v>
      </c>
      <c r="L7" s="417"/>
      <c r="M7" s="401"/>
      <c r="N7" s="47"/>
      <c r="O7" s="47"/>
      <c r="P7" s="47"/>
      <c r="Q7" s="47"/>
      <c r="R7" s="47"/>
      <c r="S7" s="47"/>
      <c r="T7" s="47"/>
      <c r="U7" s="47"/>
      <c r="V7" s="47"/>
      <c r="W7" s="47"/>
      <c r="X7" s="47"/>
      <c r="Y7" s="47"/>
      <c r="Z7" s="47"/>
      <c r="AA7" s="47"/>
      <c r="AB7" s="47"/>
      <c r="AC7" s="47"/>
      <c r="AD7" s="47"/>
      <c r="AE7" s="47"/>
      <c r="AF7" s="47"/>
      <c r="AG7" s="47"/>
      <c r="AH7" s="47"/>
      <c r="AI7" s="47"/>
      <c r="AJ7" s="47"/>
      <c r="AK7" s="47"/>
      <c r="AL7" s="49"/>
    </row>
    <row r="8" ht="13.55" customHeight="1">
      <c r="A8" s="395"/>
      <c r="B8" t="s" s="387">
        <v>207</v>
      </c>
      <c r="C8" s="418">
        <v>15</v>
      </c>
      <c r="D8" s="418">
        <v>37</v>
      </c>
      <c r="E8" s="418">
        <v>18</v>
      </c>
      <c r="F8" s="418">
        <v>37</v>
      </c>
      <c r="G8" s="398"/>
      <c r="H8" s="419"/>
      <c r="I8" s="420">
        <v>0.06</v>
      </c>
      <c r="J8" t="s" s="421">
        <v>352</v>
      </c>
      <c r="K8" s="420">
        <v>0.09</v>
      </c>
      <c r="L8" t="s" s="421">
        <v>352</v>
      </c>
      <c r="M8" s="401"/>
      <c r="N8" s="47"/>
      <c r="O8" s="47"/>
      <c r="P8" s="47"/>
      <c r="Q8" s="47"/>
      <c r="R8" s="47"/>
      <c r="S8" s="47"/>
      <c r="T8" s="47"/>
      <c r="U8" s="47"/>
      <c r="V8" s="47"/>
      <c r="W8" s="47"/>
      <c r="X8" s="47"/>
      <c r="Y8" s="47"/>
      <c r="Z8" s="47"/>
      <c r="AA8" s="47"/>
      <c r="AB8" s="47"/>
      <c r="AC8" s="47"/>
      <c r="AD8" s="47"/>
      <c r="AE8" s="47"/>
      <c r="AF8" s="47"/>
      <c r="AG8" s="47"/>
      <c r="AH8" s="47"/>
      <c r="AI8" s="47"/>
      <c r="AJ8" s="47"/>
      <c r="AK8" s="47"/>
      <c r="AL8" s="49"/>
    </row>
    <row r="9" ht="13.55" customHeight="1">
      <c r="A9" s="395"/>
      <c r="B9" t="s" s="387">
        <v>203</v>
      </c>
      <c r="C9" s="418">
        <v>18</v>
      </c>
      <c r="D9" s="418">
        <v>37</v>
      </c>
      <c r="E9" s="418">
        <v>18</v>
      </c>
      <c r="F9" s="418">
        <v>37</v>
      </c>
      <c r="G9" s="398"/>
      <c r="H9" s="422"/>
      <c r="I9" s="420">
        <v>0.7</v>
      </c>
      <c r="J9" t="s" s="421">
        <v>353</v>
      </c>
      <c r="K9" s="420">
        <v>0.55</v>
      </c>
      <c r="L9" t="s" s="421">
        <v>353</v>
      </c>
      <c r="M9" s="401"/>
      <c r="N9" s="47"/>
      <c r="O9" s="47"/>
      <c r="P9" s="47"/>
      <c r="Q9" s="47"/>
      <c r="R9" s="47"/>
      <c r="S9" s="47"/>
      <c r="T9" s="47"/>
      <c r="U9" s="47"/>
      <c r="V9" s="47"/>
      <c r="W9" s="47"/>
      <c r="X9" s="47"/>
      <c r="Y9" s="47"/>
      <c r="Z9" s="47"/>
      <c r="AA9" s="47"/>
      <c r="AB9" s="47"/>
      <c r="AC9" s="47"/>
      <c r="AD9" s="47"/>
      <c r="AE9" s="47"/>
      <c r="AF9" s="47"/>
      <c r="AG9" s="47"/>
      <c r="AH9" s="47"/>
      <c r="AI9" s="47"/>
      <c r="AJ9" s="47"/>
      <c r="AK9" s="47"/>
      <c r="AL9" s="49"/>
    </row>
    <row r="10" ht="13.55" customHeight="1">
      <c r="A10" s="395"/>
      <c r="B10" t="s" s="387">
        <v>189</v>
      </c>
      <c r="C10" s="418">
        <v>15</v>
      </c>
      <c r="D10" s="418">
        <v>22</v>
      </c>
      <c r="E10" s="418">
        <v>15</v>
      </c>
      <c r="F10" s="418">
        <v>30</v>
      </c>
      <c r="G10" s="398"/>
      <c r="H10" t="s" s="416">
        <v>354</v>
      </c>
      <c r="I10" s="420">
        <v>0.13</v>
      </c>
      <c r="J10" t="s" s="421">
        <v>355</v>
      </c>
      <c r="K10" s="420">
        <v>0.04</v>
      </c>
      <c r="L10" t="s" s="421">
        <v>355</v>
      </c>
      <c r="M10" s="401"/>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9"/>
    </row>
    <row r="11" ht="13.55" customHeight="1">
      <c r="A11" s="395"/>
      <c r="B11" t="s" s="387">
        <v>178</v>
      </c>
      <c r="C11" s="418">
        <v>18</v>
      </c>
      <c r="D11" s="418">
        <v>37</v>
      </c>
      <c r="E11" s="418">
        <v>11</v>
      </c>
      <c r="F11" s="418">
        <v>22</v>
      </c>
      <c r="G11" s="423"/>
      <c r="H11" s="424"/>
      <c r="I11" s="424"/>
      <c r="J11" s="424"/>
      <c r="K11" s="424"/>
      <c r="L11" s="424"/>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9"/>
    </row>
    <row r="12" ht="13.55" customHeight="1">
      <c r="A12" s="121"/>
      <c r="B12" s="402"/>
      <c r="C12" s="402"/>
      <c r="D12" s="402"/>
      <c r="E12" s="402"/>
      <c r="F12" s="402"/>
      <c r="G12" s="123"/>
      <c r="H12" s="394"/>
      <c r="I12" s="394"/>
      <c r="J12" s="394"/>
      <c r="K12" s="394"/>
      <c r="L12" s="394"/>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9"/>
    </row>
    <row r="13" ht="21.5" customHeight="1">
      <c r="A13" s="395"/>
      <c r="B13" t="s" s="425">
        <v>356</v>
      </c>
      <c r="C13" t="s" s="426">
        <v>357</v>
      </c>
      <c r="D13" s="427"/>
      <c r="E13" s="427"/>
      <c r="F13" s="428"/>
      <c r="G13" s="398"/>
      <c r="H13" t="s" s="429">
        <v>358</v>
      </c>
      <c r="I13" t="s" s="426">
        <v>359</v>
      </c>
      <c r="J13" s="427"/>
      <c r="K13" s="427"/>
      <c r="L13" s="428"/>
      <c r="M13" s="401"/>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9"/>
    </row>
    <row r="14" ht="13.55" customHeight="1">
      <c r="A14" s="395"/>
      <c r="B14" s="408"/>
      <c r="C14" t="s" s="409">
        <v>346</v>
      </c>
      <c r="D14" s="410"/>
      <c r="E14" t="s" s="411">
        <v>347</v>
      </c>
      <c r="F14" s="412"/>
      <c r="G14" s="398"/>
      <c r="H14" s="413"/>
      <c r="I14" t="s" s="409">
        <v>346</v>
      </c>
      <c r="J14" s="410"/>
      <c r="K14" t="s" s="411">
        <v>347</v>
      </c>
      <c r="L14" s="412"/>
      <c r="M14" s="401"/>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9"/>
    </row>
    <row r="15" ht="48" customHeight="1">
      <c r="A15" s="395"/>
      <c r="B15" t="s" s="414">
        <v>248</v>
      </c>
      <c r="C15" t="s" s="414">
        <v>348</v>
      </c>
      <c r="D15" t="s" s="414">
        <v>349</v>
      </c>
      <c r="E15" t="s" s="414">
        <v>348</v>
      </c>
      <c r="F15" t="s" s="414">
        <v>349</v>
      </c>
      <c r="G15" s="398"/>
      <c r="H15" t="s" s="415">
        <v>350</v>
      </c>
      <c r="I15" t="s" s="416">
        <v>351</v>
      </c>
      <c r="J15" s="417"/>
      <c r="K15" t="s" s="416">
        <v>351</v>
      </c>
      <c r="L15" s="417"/>
      <c r="M15" s="401"/>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9"/>
    </row>
    <row r="16" ht="14.5" customHeight="1">
      <c r="A16" s="395"/>
      <c r="B16" t="s" s="387">
        <v>207</v>
      </c>
      <c r="C16" s="418">
        <v>15</v>
      </c>
      <c r="D16" s="418">
        <v>26</v>
      </c>
      <c r="E16" s="418">
        <v>18</v>
      </c>
      <c r="F16" s="418">
        <v>26</v>
      </c>
      <c r="G16" s="398"/>
      <c r="H16" s="419"/>
      <c r="I16" s="420">
        <v>0.1</v>
      </c>
      <c r="J16" t="s" s="421">
        <v>352</v>
      </c>
      <c r="K16" s="420">
        <v>0.12</v>
      </c>
      <c r="L16" t="s" s="421">
        <v>352</v>
      </c>
      <c r="M16" s="401"/>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9"/>
    </row>
    <row r="17" ht="13.55" customHeight="1">
      <c r="A17" s="395"/>
      <c r="B17" t="s" s="387">
        <v>203</v>
      </c>
      <c r="C17" s="418">
        <v>11</v>
      </c>
      <c r="D17" s="418">
        <v>18</v>
      </c>
      <c r="E17" s="418">
        <v>18</v>
      </c>
      <c r="F17" s="418">
        <v>26</v>
      </c>
      <c r="G17" s="398"/>
      <c r="H17" s="422"/>
      <c r="I17" s="420">
        <v>0.95</v>
      </c>
      <c r="J17" t="s" s="421">
        <v>353</v>
      </c>
      <c r="K17" s="420">
        <v>0.8</v>
      </c>
      <c r="L17" t="s" s="421">
        <v>353</v>
      </c>
      <c r="M17" s="401"/>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9"/>
    </row>
    <row r="18" ht="13.55" customHeight="1">
      <c r="A18" s="395"/>
      <c r="B18" t="s" s="387">
        <v>189</v>
      </c>
      <c r="C18" s="418">
        <v>11</v>
      </c>
      <c r="D18" s="418">
        <v>11</v>
      </c>
      <c r="E18" s="418">
        <v>15</v>
      </c>
      <c r="F18" s="418">
        <v>15</v>
      </c>
      <c r="G18" s="398"/>
      <c r="H18" t="s" s="416">
        <v>354</v>
      </c>
      <c r="I18" s="420">
        <v>0.13</v>
      </c>
      <c r="J18" t="s" s="421">
        <v>355</v>
      </c>
      <c r="K18" s="420">
        <v>0.04</v>
      </c>
      <c r="L18" t="s" s="421">
        <v>355</v>
      </c>
      <c r="M18" s="401"/>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9"/>
    </row>
    <row r="19" ht="13.55" customHeight="1">
      <c r="A19" s="395"/>
      <c r="B19" t="s" s="387">
        <v>178</v>
      </c>
      <c r="C19" s="418">
        <v>11</v>
      </c>
      <c r="D19" s="418">
        <v>18</v>
      </c>
      <c r="E19" s="418">
        <v>11</v>
      </c>
      <c r="F19" s="418">
        <v>11</v>
      </c>
      <c r="G19" s="423"/>
      <c r="H19" s="424"/>
      <c r="I19" s="424"/>
      <c r="J19" s="424"/>
      <c r="K19" s="424"/>
      <c r="L19" s="424"/>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9"/>
    </row>
    <row r="20" ht="13.55" customHeight="1">
      <c r="A20" s="121"/>
      <c r="B20" s="402"/>
      <c r="C20" s="402"/>
      <c r="D20" s="402"/>
      <c r="E20" s="402"/>
      <c r="F20" s="402"/>
      <c r="G20" s="123"/>
      <c r="H20" s="123"/>
      <c r="I20" s="123"/>
      <c r="J20" s="123"/>
      <c r="K20" s="123"/>
      <c r="L20" s="123"/>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9"/>
    </row>
    <row r="21" ht="49.25" customHeight="1">
      <c r="A21" s="395"/>
      <c r="B21" t="s" s="430">
        <v>360</v>
      </c>
      <c r="C21" s="431"/>
      <c r="D21" s="431"/>
      <c r="E21" s="431"/>
      <c r="F21" s="432"/>
      <c r="G21" s="423"/>
      <c r="H21" s="123"/>
      <c r="I21" s="123"/>
      <c r="J21" s="123"/>
      <c r="K21" s="123"/>
      <c r="L21" s="123"/>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9"/>
    </row>
    <row r="22" ht="13.55" customHeight="1">
      <c r="A22" s="395"/>
      <c r="B22" t="s" s="433">
        <v>361</v>
      </c>
      <c r="C22" s="434"/>
      <c r="D22" s="434"/>
      <c r="E22" s="434"/>
      <c r="F22" s="435"/>
      <c r="G22" s="423"/>
      <c r="H22" s="123"/>
      <c r="I22" s="123"/>
      <c r="J22" s="123"/>
      <c r="K22" s="123"/>
      <c r="L22" s="123"/>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9"/>
    </row>
    <row r="23" ht="13.55" customHeight="1">
      <c r="A23" s="395"/>
      <c r="B23" t="s" s="433">
        <v>362</v>
      </c>
      <c r="C23" s="434"/>
      <c r="D23" s="434"/>
      <c r="E23" s="434"/>
      <c r="F23" s="435"/>
      <c r="G23" s="423"/>
      <c r="H23" s="123"/>
      <c r="I23" s="123"/>
      <c r="J23" s="123"/>
      <c r="K23" s="123"/>
      <c r="L23" s="123"/>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9"/>
    </row>
    <row r="24" ht="13.55" customHeight="1">
      <c r="A24" s="395"/>
      <c r="B24" t="s" s="436">
        <v>363</v>
      </c>
      <c r="C24" s="437"/>
      <c r="D24" s="437"/>
      <c r="E24" s="437"/>
      <c r="F24" s="438"/>
      <c r="G24" s="423"/>
      <c r="H24" s="123"/>
      <c r="I24" s="123"/>
      <c r="J24" s="123"/>
      <c r="K24" s="123"/>
      <c r="L24" s="123"/>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9"/>
    </row>
    <row r="25" ht="13.55" customHeight="1">
      <c r="A25" s="200"/>
      <c r="B25" s="439"/>
      <c r="C25" s="439"/>
      <c r="D25" s="439"/>
      <c r="E25" s="439"/>
      <c r="F25" s="439"/>
      <c r="G25" s="201"/>
      <c r="H25" s="201"/>
      <c r="I25" s="201"/>
      <c r="J25" s="201"/>
      <c r="K25" s="201"/>
      <c r="L25" s="201"/>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09"/>
      <c r="AL25" s="112"/>
    </row>
  </sheetData>
  <mergeCells count="21">
    <mergeCell ref="H15:H17"/>
    <mergeCell ref="B21:F21"/>
    <mergeCell ref="H3:L3"/>
    <mergeCell ref="I5:L5"/>
    <mergeCell ref="H5:H6"/>
    <mergeCell ref="H13:H14"/>
    <mergeCell ref="I13:L13"/>
    <mergeCell ref="C5:F5"/>
    <mergeCell ref="B5:B6"/>
    <mergeCell ref="B3:F3"/>
    <mergeCell ref="B13:B14"/>
    <mergeCell ref="C13:F13"/>
    <mergeCell ref="C6:D6"/>
    <mergeCell ref="E6:F6"/>
    <mergeCell ref="C14:D14"/>
    <mergeCell ref="E14:F14"/>
    <mergeCell ref="I6:J6"/>
    <mergeCell ref="K6:L6"/>
    <mergeCell ref="I14:J14"/>
    <mergeCell ref="K14:L14"/>
    <mergeCell ref="H7:H9"/>
  </mergeCells>
  <pageMargins left="0.7" right="0.7" top="0.75" bottom="0.75" header="0.3" footer="0.3"/>
  <pageSetup firstPageNumber="1" fitToHeight="1" fitToWidth="1" scale="100" useFirstPageNumber="0" orientation="landscape" pageOrder="downThenOver"/>
  <headerFooter>
    <oddFooter>&amp;C&amp;"Helvetica Neue,Regular"&amp;12&amp;K000000&amp;P</oddFooter>
  </headerFooter>
</worksheet>
</file>

<file path=xl/worksheets/sheet8.xml><?xml version="1.0" encoding="utf-8"?>
<worksheet xmlns:r="http://schemas.openxmlformats.org/officeDocument/2006/relationships" xmlns="http://schemas.openxmlformats.org/spreadsheetml/2006/main">
  <dimension ref="A1:BL68"/>
  <sheetViews>
    <sheetView workbookViewId="0" showGridLines="0" defaultGridColor="1"/>
  </sheetViews>
  <sheetFormatPr defaultColWidth="8.83333" defaultRowHeight="15" customHeight="1" outlineLevelRow="0" outlineLevelCol="0"/>
  <cols>
    <col min="1" max="1" width="2.85156" style="440" customWidth="1"/>
    <col min="2" max="3" width="6.85156" style="440" customWidth="1"/>
    <col min="4" max="4" width="15.6719" style="440" customWidth="1"/>
    <col min="5" max="5" width="12.5" style="440" customWidth="1"/>
    <col min="6" max="6" width="13.8516" style="440" customWidth="1"/>
    <col min="7" max="7" width="12.1719" style="440" customWidth="1"/>
    <col min="8" max="8" width="10.8516" style="440" customWidth="1"/>
    <col min="9" max="9" width="23.6719" style="440" customWidth="1"/>
    <col min="10" max="10" width="9.85156" style="440" customWidth="1"/>
    <col min="11" max="11" width="15.6719" style="440" customWidth="1"/>
    <col min="12" max="13" width="12" style="440" customWidth="1"/>
    <col min="14" max="16" width="10.8516" style="440" customWidth="1"/>
    <col min="17" max="18" width="10.1719" style="440" customWidth="1"/>
    <col min="19" max="20" width="12.5" style="440" customWidth="1"/>
    <col min="21" max="22" width="15.6719" style="440" customWidth="1"/>
    <col min="23" max="23" width="13.8516" style="440" customWidth="1"/>
    <col min="24" max="25" width="10.3516" style="440" customWidth="1"/>
    <col min="26" max="26" width="13" style="440" customWidth="1"/>
    <col min="27" max="30" width="10.6719" style="440" customWidth="1"/>
    <col min="31" max="31" width="14.8516" style="440" customWidth="1"/>
    <col min="32" max="32" width="10.8516" style="440" customWidth="1"/>
    <col min="33" max="33" width="13.8516" style="440" customWidth="1"/>
    <col min="34" max="35" width="10.3516" style="440" customWidth="1"/>
    <col min="36" max="36" width="13" style="440" customWidth="1"/>
    <col min="37" max="40" width="10.6719" style="440" customWidth="1"/>
    <col min="41" max="41" width="5.67188" style="440" customWidth="1"/>
    <col min="42" max="42" width="19.5" style="440" customWidth="1"/>
    <col min="43" max="46" width="16" style="440" customWidth="1"/>
    <col min="47" max="47" width="11.3516" style="440" customWidth="1"/>
    <col min="48" max="49" width="16" style="440" customWidth="1"/>
    <col min="50" max="50" width="6.5" style="440" customWidth="1"/>
    <col min="51" max="51" width="8.85156" style="440" customWidth="1"/>
    <col min="52" max="52" width="21.5" style="440" customWidth="1"/>
    <col min="53" max="53" width="15.1719" style="440" customWidth="1"/>
    <col min="54" max="54" width="7.17188" style="440" customWidth="1"/>
    <col min="55" max="55" width="32.1719" style="440" customWidth="1"/>
    <col min="56" max="57" width="15.6719" style="440" customWidth="1"/>
    <col min="58" max="64" width="8.85156" style="440" customWidth="1"/>
    <col min="65" max="16384" width="8.85156" style="440" customWidth="1"/>
  </cols>
  <sheetData>
    <row r="1" ht="21" customHeight="1">
      <c r="A1" s="441"/>
      <c r="B1" t="s" s="442">
        <v>365</v>
      </c>
      <c r="C1" s="443"/>
      <c r="D1" s="441"/>
      <c r="E1" s="444"/>
      <c r="F1" s="441"/>
      <c r="G1" s="441"/>
      <c r="H1" s="445"/>
      <c r="I1" s="441"/>
      <c r="J1" s="441"/>
      <c r="K1" s="441"/>
      <c r="L1" s="441"/>
      <c r="M1" s="441"/>
      <c r="N1" s="441"/>
      <c r="O1" s="441"/>
      <c r="P1" s="441"/>
      <c r="Q1" s="441"/>
      <c r="R1" s="446"/>
      <c r="S1" s="446"/>
      <c r="T1" s="446"/>
      <c r="U1" s="446"/>
      <c r="V1" s="446"/>
      <c r="W1" s="447"/>
      <c r="X1" s="446"/>
      <c r="Y1" s="446"/>
      <c r="Z1" s="446"/>
      <c r="AA1" s="448"/>
      <c r="AB1" s="446"/>
      <c r="AC1" s="446"/>
      <c r="AD1" s="446"/>
      <c r="AE1" s="447"/>
      <c r="AF1" s="447"/>
      <c r="AG1" s="447"/>
      <c r="AH1" s="446"/>
      <c r="AI1" s="446"/>
      <c r="AJ1" s="446"/>
      <c r="AK1" s="448"/>
      <c r="AL1" s="446"/>
      <c r="AM1" s="446"/>
      <c r="AN1" s="446"/>
      <c r="AO1" s="441"/>
      <c r="AP1" s="441"/>
      <c r="AQ1" s="441"/>
      <c r="AR1" s="441"/>
      <c r="AS1" s="441"/>
      <c r="AT1" s="449"/>
      <c r="AU1" s="449"/>
      <c r="AV1" s="449"/>
      <c r="AW1" s="449"/>
      <c r="AX1" s="441"/>
      <c r="AY1" s="441"/>
      <c r="AZ1" s="441"/>
      <c r="BA1" s="441"/>
      <c r="BB1" s="441"/>
      <c r="BC1" s="441"/>
      <c r="BD1" s="441"/>
      <c r="BE1" s="441"/>
      <c r="BF1" s="441"/>
      <c r="BG1" s="441"/>
      <c r="BH1" s="441"/>
      <c r="BI1" s="441"/>
      <c r="BJ1" s="441"/>
      <c r="BK1" s="441"/>
      <c r="BL1" s="441"/>
    </row>
    <row r="2" ht="16" customHeight="1">
      <c r="A2" s="441"/>
      <c r="B2" s="449"/>
      <c r="C2" s="449"/>
      <c r="D2" s="449"/>
      <c r="E2" s="450"/>
      <c r="F2" s="449"/>
      <c r="G2" s="449"/>
      <c r="H2" s="451"/>
      <c r="I2" s="449"/>
      <c r="J2" s="449"/>
      <c r="K2" s="449"/>
      <c r="L2" s="449"/>
      <c r="M2" s="449"/>
      <c r="N2" s="449"/>
      <c r="O2" s="449"/>
      <c r="P2" s="449"/>
      <c r="Q2" s="452"/>
      <c r="R2" t="s" s="453">
        <v>366</v>
      </c>
      <c r="S2" s="454"/>
      <c r="T2" s="454"/>
      <c r="U2" s="454"/>
      <c r="V2" s="454"/>
      <c r="W2" s="455"/>
      <c r="X2" s="454"/>
      <c r="Y2" s="454"/>
      <c r="Z2" s="456"/>
      <c r="AA2" s="456"/>
      <c r="AB2" s="454"/>
      <c r="AC2" s="454"/>
      <c r="AD2" s="457"/>
      <c r="AE2" t="s" s="458">
        <v>367</v>
      </c>
      <c r="AF2" s="459"/>
      <c r="AG2" s="460"/>
      <c r="AH2" s="461"/>
      <c r="AI2" s="461"/>
      <c r="AJ2" s="462"/>
      <c r="AK2" s="462"/>
      <c r="AL2" s="461"/>
      <c r="AM2" s="461"/>
      <c r="AN2" s="461"/>
      <c r="AO2" s="463"/>
      <c r="AP2" t="s" s="464">
        <v>368</v>
      </c>
      <c r="AQ2" s="449"/>
      <c r="AR2" s="449"/>
      <c r="AS2" s="465"/>
      <c r="AT2" t="s" s="466">
        <v>369</v>
      </c>
      <c r="AU2" s="467"/>
      <c r="AV2" t="s" s="466">
        <v>370</v>
      </c>
      <c r="AW2" s="467"/>
      <c r="AX2" s="468"/>
      <c r="AY2" s="449"/>
      <c r="AZ2" t="s" s="464">
        <v>371</v>
      </c>
      <c r="BA2" s="449"/>
      <c r="BB2" s="441"/>
      <c r="BC2" t="s" s="469">
        <v>372</v>
      </c>
      <c r="BD2" s="441"/>
      <c r="BE2" s="441"/>
      <c r="BF2" s="441"/>
      <c r="BG2" s="441"/>
      <c r="BH2" s="441"/>
      <c r="BI2" s="441"/>
      <c r="BJ2" s="441"/>
      <c r="BK2" s="441"/>
      <c r="BL2" s="441"/>
    </row>
    <row r="3" ht="64" customHeight="1">
      <c r="A3" s="470"/>
      <c r="B3" t="s" s="471">
        <v>373</v>
      </c>
      <c r="C3" t="s" s="471">
        <v>374</v>
      </c>
      <c r="D3" t="s" s="471">
        <v>147</v>
      </c>
      <c r="E3" t="s" s="471">
        <v>375</v>
      </c>
      <c r="F3" t="s" s="471">
        <v>376</v>
      </c>
      <c r="G3" t="s" s="471">
        <v>154</v>
      </c>
      <c r="H3" t="s" s="471">
        <v>377</v>
      </c>
      <c r="I3" t="s" s="471">
        <v>155</v>
      </c>
      <c r="J3" t="s" s="471">
        <v>378</v>
      </c>
      <c r="K3" t="s" s="471">
        <v>379</v>
      </c>
      <c r="L3" t="s" s="471">
        <v>380</v>
      </c>
      <c r="M3" t="s" s="471">
        <v>381</v>
      </c>
      <c r="N3" t="s" s="471">
        <v>382</v>
      </c>
      <c r="O3" t="s" s="471">
        <v>383</v>
      </c>
      <c r="P3" t="s" s="471">
        <v>384</v>
      </c>
      <c r="Q3" t="s" s="471">
        <v>385</v>
      </c>
      <c r="R3" t="s" s="471">
        <v>386</v>
      </c>
      <c r="S3" t="s" s="471">
        <v>387</v>
      </c>
      <c r="T3" t="s" s="471">
        <v>388</v>
      </c>
      <c r="U3" t="s" s="471">
        <v>389</v>
      </c>
      <c r="V3" t="s" s="471">
        <v>390</v>
      </c>
      <c r="W3" t="s" s="471">
        <v>391</v>
      </c>
      <c r="X3" t="s" s="471">
        <v>392</v>
      </c>
      <c r="Y3" t="s" s="471">
        <v>393</v>
      </c>
      <c r="Z3" t="s" s="471">
        <v>394</v>
      </c>
      <c r="AA3" t="s" s="471">
        <v>395</v>
      </c>
      <c r="AB3" t="s" s="471">
        <v>396</v>
      </c>
      <c r="AC3" t="s" s="471">
        <v>397</v>
      </c>
      <c r="AD3" t="s" s="472">
        <v>398</v>
      </c>
      <c r="AE3" t="s" s="473">
        <v>390</v>
      </c>
      <c r="AF3" t="s" s="471">
        <v>399</v>
      </c>
      <c r="AG3" t="s" s="471">
        <v>391</v>
      </c>
      <c r="AH3" t="s" s="471">
        <v>392</v>
      </c>
      <c r="AI3" t="s" s="471">
        <v>393</v>
      </c>
      <c r="AJ3" t="s" s="471">
        <v>394</v>
      </c>
      <c r="AK3" t="s" s="471">
        <v>395</v>
      </c>
      <c r="AL3" t="s" s="471">
        <v>396</v>
      </c>
      <c r="AM3" t="s" s="471">
        <v>397</v>
      </c>
      <c r="AN3" t="s" s="472">
        <v>398</v>
      </c>
      <c r="AO3" s="474"/>
      <c r="AP3" t="s" s="471">
        <v>400</v>
      </c>
      <c r="AQ3" t="s" s="471">
        <v>401</v>
      </c>
      <c r="AR3" t="s" s="471">
        <v>402</v>
      </c>
      <c r="AS3" t="s" s="471">
        <v>403</v>
      </c>
      <c r="AT3" t="s" s="471">
        <v>404</v>
      </c>
      <c r="AU3" t="s" s="471">
        <v>405</v>
      </c>
      <c r="AV3" t="s" s="471">
        <v>406</v>
      </c>
      <c r="AW3" t="s" s="471">
        <v>407</v>
      </c>
      <c r="AX3" s="475"/>
      <c r="AY3" t="s" s="471">
        <v>408</v>
      </c>
      <c r="AZ3" t="s" s="471">
        <v>409</v>
      </c>
      <c r="BA3" t="s" s="471">
        <v>410</v>
      </c>
      <c r="BB3" s="468"/>
      <c r="BC3" t="s" s="476">
        <v>411</v>
      </c>
      <c r="BD3" s="477"/>
      <c r="BE3" s="478"/>
      <c r="BF3" s="441"/>
      <c r="BG3" s="441"/>
      <c r="BH3" s="441"/>
      <c r="BI3" s="441"/>
      <c r="BJ3" s="441"/>
      <c r="BK3" s="441"/>
      <c r="BL3" s="441"/>
    </row>
    <row r="4" ht="16" customHeight="1">
      <c r="A4" s="470"/>
      <c r="B4" s="479">
        <f>IF('Window &amp; Door DATA INPUT'!B10&gt;1,1,0)</f>
        <v>1</v>
      </c>
      <c r="C4" s="479">
        <f>IF(AND(B4=1,OR(D4='Parameters'!$D$17,D4='Parameters'!$D$18,D4='Parameters'!$D$19,D4='Parameters'!$D$20,D4='Parameters'!$D$21)),1,0)</f>
        <v>1</v>
      </c>
      <c r="D4" t="s" s="480">
        <f>IF('Window &amp; Door DATA INPUT'!B10="","",'Window &amp; Door DATA INPUT'!B10)</f>
        <v>175</v>
      </c>
      <c r="E4" s="481">
        <f>IF('Window &amp; Door DATA INPUT'!D10="","",'Window &amp; Door DATA INPUT'!D10)</f>
        <v>10.9</v>
      </c>
      <c r="F4" t="s" s="480">
        <f>IF(B4=1,'Window &amp; Door DATA INPUT'!H10&amp;'RESULTS'!$H$5,"")</f>
        <v>412</v>
      </c>
      <c r="G4" t="s" s="480">
        <f>IF(B4=1,VLOOKUP(F4,'Parameters'!$H$4:$I$20,2,FALSE),"")</f>
        <v>178</v>
      </c>
      <c r="H4" t="s" s="414">
        <f>IF(OR('Window &amp; Door DATA INPUT'!J10='Parameters'!$K$4,'Window &amp; Door DATA INPUT'!J10='Parameters'!$K$11),"No",IF('Window &amp; Door DATA INPUT'!K10="","",'Window &amp; Door DATA INPUT'!K10))</f>
        <v>138</v>
      </c>
      <c r="I4" t="s" s="414">
        <f>IF('Window &amp; Door DATA INPUT'!J10="","",'Window &amp; Door DATA INPUT'!J10)</f>
        <v>179</v>
      </c>
      <c r="J4" s="482">
        <f>IF('Window &amp; Door DATA INPUT'!L10='Parameters'!$O$5,'Window &amp; Door DATA INPUT'!O10,IF(B4=1,'Window &amp; Door DATA INPUT'!N10*'Window &amp; Door DATA INPUT'!M10,""))</f>
        <v>0.528</v>
      </c>
      <c r="K4" t="s" s="414">
        <f>IF('Window &amp; Door DATA INPUT'!J10="","",VLOOKUP('Window &amp; Door DATA INPUT'!J10,'Parameters'!$K$4:$L$16,2,FALSE))</f>
        <v>413</v>
      </c>
      <c r="L4" s="483">
        <f>IF($H4="yes",IF($K4="Y",'Window &amp; Door DATA INPUT'!Q10,IF($K4="N",'Window &amp; Door DATA INPUT'!P10)),"")</f>
        <v>0.62</v>
      </c>
      <c r="M4" s="483">
        <f>IF($H4="yes",IF($K4="Y",'Window &amp; Door DATA INPUT'!P10,IF($K4="N",'Window &amp; Door DATA INPUT'!Q10)),"")</f>
        <v>1.04</v>
      </c>
      <c r="N4" s="482">
        <f>IF(L4="","",L4*M4)</f>
        <v>0.6448</v>
      </c>
      <c r="O4" t="s" s="414">
        <f>IF(AND(B4=1,C4=0,H4="yes"),"A",IF(AND(C4=1,H4="yes",'Window &amp; Door DATA INPUT'!R10="no"),"B",IF(AND(C4=1,H4="yes",'Window &amp; Door DATA INPUT'!R10="yes",'Window &amp; Door DATA INPUT'!S10="yes"),"C",IF(AND(C4=1,H4="yes",'Window &amp; Door DATA INPUT'!R10="yes",'Window &amp; Door DATA INPUT'!S10="no"),"D",""))))</f>
        <v>250</v>
      </c>
      <c r="P4" t="s" s="414">
        <f>IF(AND(C4=1,H4="yes",OR(I4='Parameters'!$K$12,I4='Parameters'!$K$13,I4='Parameters'!$K$14)),"E",IF(AND(C4=1,H4="yes",NOT(OR(I4='Parameters'!$K$12,I4='Parameters'!$K$13,I4='Parameters'!$K$14))),"F",""))</f>
        <v>414</v>
      </c>
      <c r="Q4" t="s" s="414">
        <f>IF(AND(B4=1,H4="yes"),VLOOKUP(I4,'Parameters'!$K$4:$M$16,3,FALSE),"")</f>
        <v>415</v>
      </c>
      <c r="R4" s="484">
        <f>IF(AND(OR(O4="A",O4="B",O4="d"),Q4="input"),'Window &amp; Door DATA INPUT'!AA10,IF(AND(O4="C",Q4="input"),'Window &amp; Door DATA INPUT'!W10,Q4))</f>
        <v>90</v>
      </c>
      <c r="S4" t="s" s="414">
        <f>IF('Window &amp; Door DATA INPUT'!X10="Yes",'Window &amp; Door DATA INPUT'!Y10/1000,IF(B4=1,"N/A",""))</f>
        <v>416</v>
      </c>
      <c r="T4" t="s" s="480">
        <f>IF(Q4="calc",IF(P4="yes",'Window &amp; Door DATA INPUT'!U10/1000,('Parameters'!$S$4-'Window &amp; Door DATA INPUT'!Z10+'Parameters'!$Q$4)/1000),"")</f>
      </c>
      <c r="U4" t="s" s="480">
        <f>IF(Q4="calc",IF(T4&gt;M4,M4,T4),"")</f>
      </c>
      <c r="V4" t="s" s="480">
        <f>IF(AND(S4&gt;0,S4&lt;U4),S4,U4)</f>
      </c>
      <c r="W4" s="485">
        <f>IF(R4="calc",DEGREES(ASIN(V4/M4)),R4)</f>
        <v>90</v>
      </c>
      <c r="X4" s="483">
        <f>IF(OR($H4="no",$B4=0),"",IF($I4='Parameters'!$K$15,$L4/($M4/2),$L4/$M4))</f>
        <v>0.596153846153846</v>
      </c>
      <c r="Y4" s="483">
        <f>IF(OR($H4="no",$B4=0),"",IF($X4&lt;0.5,'Parameters'!$X$4,IF($X4&lt;1,'Parameters'!$Y$4,IF($X4&lt;2,'Parameters'!$Z$4,'Parameters'!$AA$4))))</f>
        <v>0.0478352593239432</v>
      </c>
      <c r="Z4" s="483">
        <f>IF(OR($H4="no",$B4=0),"",IF($X4&lt;0.5,'Parameters'!$X$5,IF($X4&lt;1,'Parameters'!$Y$5,IF($X4&lt;2,'Parameters'!$Z$5,'Parameters'!$AA$5))))</f>
        <v>0.588607594936709</v>
      </c>
      <c r="AA4" s="483">
        <f>IF(OR($H4="no",$B4=0),"",IF($I4='Parameters'!$K$15,(2*($M4/2)*SIN(RADIANS($W4/2))),(2*$M4*SIN(RADIANS($W4/2)))))</f>
        <v>1.47078210486802</v>
      </c>
      <c r="AB4" s="483">
        <f>IF(OR($H4="no",$B4=0),"",$Z4*(1-EXP(-$Y4*$W4)))</f>
        <v>0.580662248527437</v>
      </c>
      <c r="AC4" s="483">
        <f>IF(OR($H4="no",$B4=0),"",IF($I4='Parameters'!$K$15,$AB4*$N4/2,$AB4*$N4))</f>
        <v>0.374411017850491</v>
      </c>
      <c r="AD4" s="486">
        <f>IF(OR($H4="no",$B4=0),"",IF($I4='Parameters'!$K$15,$AC4*2/'Parameters'!$AB$4,$AC4/'Parameters'!$AB$4))</f>
        <v>0.603888738468534</v>
      </c>
      <c r="AE4" t="s" s="487">
        <f>IF(AND(O4="B",Q4="calc"),V4,IF(AND(O4="C",Q4="calc"),'Window &amp; Door DATA INPUT'!T10/1000,""))</f>
      </c>
      <c r="AF4" s="484">
        <f>IF(AND(O4="B",Q4="input"),'Window &amp; Door DATA INPUT'!AA10,IF(AND(O4="C",Q4="input",P4="F"),'Window &amp; Door DATA INPUT'!V10,IF(AND(O4="C",P4="E"),0,IF(AND(O4="D"),0,IF(AND(B4=1,C4=0),"",(Q4))))))</f>
        <v>12</v>
      </c>
      <c r="AG4" s="485">
        <f>IF(AF4="calc",DEGREES(ASIN(AE4/M4)),AF4)</f>
        <v>12</v>
      </c>
      <c r="AH4" s="483">
        <f>IF(OR($H4="no",$C4=0),"",IF($I4='Parameters'!$K$15,$L4/($M4/2),$L4/$M4))</f>
        <v>0.596153846153846</v>
      </c>
      <c r="AI4" s="483">
        <f>IF(OR($H4="no",$C4=0),"",IF($AH4&lt;0.5,'Parameters'!$X$4,IF($AH4&lt;1,'Parameters'!$Y$4,IF($AH4&lt;2,'Parameters'!$Z$4,'Parameters'!$AA$4))))</f>
        <v>0.0478352593239432</v>
      </c>
      <c r="AJ4" s="483">
        <f>IF(OR($H4="no",$C4=0),"",IF($AH4&lt;0.5,'Parameters'!$X$5,IF($AH4&lt;1,'Parameters'!$Y$5,IF($AH4&lt;2,'Parameters'!$Z$5,'Parameters'!$AA$5))))</f>
        <v>0.588607594936709</v>
      </c>
      <c r="AK4" s="483">
        <f>IF(OR($H4="no",$C4=0),"",IF($I4='Parameters'!$K$15,(2*($M4/2)*SIN(RADIANS($AG4/2))),(2*$M4*SIN(RADIANS($AG4/2)))))</f>
        <v>0.217419203596719</v>
      </c>
      <c r="AL4" s="483">
        <f>IF(OR($H4="no",$C4=0),"",$AJ4*(1-EXP(-$AI4*$AG4)))</f>
        <v>0.257071519941142</v>
      </c>
      <c r="AM4" s="483">
        <f>IF(OR($H4="no",$C4=0),"",IF($I4='Parameters'!$K$15,$AL4*$N4/2,$AL4*$N4))</f>
        <v>0.165759716058048</v>
      </c>
      <c r="AN4" s="486">
        <f>IF(OR($H4="no",$C4=0),"",IF($I4='Parameters'!$K$15,$AM4*2/'Parameters'!$AB$4,$AM4/'Parameters'!$AB$4))</f>
        <v>0.267354380738787</v>
      </c>
      <c r="AO4" s="474"/>
      <c r="AP4" t="s" s="488">
        <f>'Parameters'!D4</f>
        <v>181</v>
      </c>
      <c r="AQ4" s="489">
        <f>IF(ISERROR(VLOOKUP($AP4,$D$4:$E$68,2,FALSE)),0,(VLOOKUP($AP4,$D$4:$E$68,2,FALSE)))</f>
        <v>19</v>
      </c>
      <c r="AR4" s="489">
        <f>_xlfn.SUMIFS($J$4:$J$68,$D$4:$D$68,AP4)</f>
        <v>1.0368</v>
      </c>
      <c r="AS4" s="490">
        <f>IF(AQ4&gt;0,AR4/AQ4," ")</f>
        <v>0.0545684210526316</v>
      </c>
      <c r="AT4" s="489">
        <f>_xlfn.SUMIFS($AD$4:$AD$68,$D$4:$D$68,AP4)</f>
        <v>0</v>
      </c>
      <c r="AU4" t="s" s="466">
        <f>IF(AR4=$BA$12,AS4,"")</f>
      </c>
      <c r="AV4" s="491"/>
      <c r="AW4" s="491"/>
      <c r="AX4" s="492"/>
      <c r="AY4" s="493">
        <f>IF(BA4=$BA$9,VLOOKUP($BD$4&amp;$BD$5&amp;AZ4,'Parameters'!$AG$4:$AO$19,9,FALSE))</f>
        <v>3</v>
      </c>
      <c r="AZ4" t="s" s="488">
        <v>207</v>
      </c>
      <c r="BA4" s="489">
        <f>_xlfn.SUMIFS($J$4:$J$68,$G$4:$G$68,AZ4)</f>
        <v>6.5184</v>
      </c>
      <c r="BB4" s="494"/>
      <c r="BC4" t="s" s="488">
        <v>417</v>
      </c>
      <c r="BD4" t="s" s="480">
        <f>'RESULTS'!D14</f>
        <v>418</v>
      </c>
      <c r="BE4" s="468"/>
      <c r="BF4" s="495"/>
      <c r="BG4" s="495"/>
      <c r="BH4" s="495"/>
      <c r="BI4" s="495"/>
      <c r="BJ4" s="441"/>
      <c r="BK4" s="441"/>
      <c r="BL4" s="441"/>
    </row>
    <row r="5" ht="16" customHeight="1">
      <c r="A5" s="470"/>
      <c r="B5" s="479">
        <f>IF('Window &amp; Door DATA INPUT'!B11&gt;1,1,0)</f>
        <v>1</v>
      </c>
      <c r="C5" s="479">
        <f>IF(AND(B5=1,OR(D5='Parameters'!$D$17,D5='Parameters'!$D$18,D5='Parameters'!$D$19,D5='Parameters'!$D$20,D5='Parameters'!$D$21)),1,0)</f>
        <v>0</v>
      </c>
      <c r="D5" t="s" s="480">
        <f>IF('Window &amp; Door DATA INPUT'!B11="","",'Window &amp; Door DATA INPUT'!B11)</f>
        <v>181</v>
      </c>
      <c r="E5" s="481">
        <f>IF('Window &amp; Door DATA INPUT'!D11="","",'Window &amp; Door DATA INPUT'!D11)</f>
        <v>19</v>
      </c>
      <c r="F5" t="s" s="480">
        <f>IF(B5=1,'Window &amp; Door DATA INPUT'!H11&amp;'RESULTS'!$H$5,"")</f>
        <v>412</v>
      </c>
      <c r="G5" t="s" s="480">
        <f>IF(B5=1,VLOOKUP(F5,'Parameters'!$H$4:$I$20,2,FALSE),"")</f>
        <v>178</v>
      </c>
      <c r="H5" t="s" s="480">
        <f>IF(OR('Window &amp; Door DATA INPUT'!J11='Parameters'!$K$4,'Window &amp; Door DATA INPUT'!J11='Parameters'!$K$11),"No",IF('Window &amp; Door DATA INPUT'!K11="","",'Window &amp; Door DATA INPUT'!K11))</f>
        <v>199</v>
      </c>
      <c r="I5" t="s" s="414">
        <f>IF('Window &amp; Door DATA INPUT'!J11="","",'Window &amp; Door DATA INPUT'!J11)</f>
        <v>183</v>
      </c>
      <c r="J5" s="482">
        <f>IF('Window &amp; Door DATA INPUT'!L11='Parameters'!$O$5,'Window &amp; Door DATA INPUT'!O11,IF(B5=1,'Window &amp; Door DATA INPUT'!N11*'Window &amp; Door DATA INPUT'!M11,""))</f>
        <v>1.0368</v>
      </c>
      <c r="K5" t="s" s="414">
        <f>IF('Window &amp; Door DATA INPUT'!J11="","",VLOOKUP('Window &amp; Door DATA INPUT'!J11,'Parameters'!$K$4:$L$16,2,FALSE))</f>
        <v>416</v>
      </c>
      <c r="L5" t="s" s="480">
        <f>IF($H5="yes",IF($K5="Y",'Window &amp; Door DATA INPUT'!Q11,IF($K5="N",'Window &amp; Door DATA INPUT'!P11)),"")</f>
      </c>
      <c r="M5" t="s" s="480">
        <f>IF($H5="yes",IF($K5="Y",'Window &amp; Door DATA INPUT'!P11,IF($K5="N",'Window &amp; Door DATA INPUT'!Q11)),"")</f>
      </c>
      <c r="N5" t="s" s="480">
        <f>IF(L5="","",L5*M5)</f>
      </c>
      <c r="O5" t="s" s="414">
        <f>IF(AND(B5=1,C5=0,H5="yes"),"A",IF(AND(C5=1,H5="yes",'Window &amp; Door DATA INPUT'!R11="no"),"B",IF(AND(C5=1,H5="yes",'Window &amp; Door DATA INPUT'!R11="yes",'Window &amp; Door DATA INPUT'!S11="yes"),"C",IF(AND(C5=1,H5="yes",'Window &amp; Door DATA INPUT'!R11="yes",'Window &amp; Door DATA INPUT'!S11="no"),"D",""))))</f>
      </c>
      <c r="P5" t="s" s="414">
        <f>IF(AND(C5=1,H5="yes",OR(I5='Parameters'!$K$12,I5='Parameters'!$K$13,I5='Parameters'!$K$14)),"E",IF(AND(C5=1,H5="yes",NOT(OR(I5='Parameters'!$K$12,I5='Parameters'!$K$13,I5='Parameters'!$K$14))),"F",""))</f>
      </c>
      <c r="Q5" t="s" s="414">
        <f>IF(AND(B5=1,H5="yes"),VLOOKUP(I5,'Parameters'!$K$4:$M$16,3,FALSE),"")</f>
      </c>
      <c r="R5" t="s" s="414">
        <f>IF(AND(OR(O5="A",O5="B",O5="d"),Q5="input"),'Window &amp; Door DATA INPUT'!AA11,IF(AND(O5="C",Q5="input"),'Window &amp; Door DATA INPUT'!W11,Q5))</f>
      </c>
      <c r="S5" t="s" s="414">
        <f>IF('Window &amp; Door DATA INPUT'!X11="Yes",'Window &amp; Door DATA INPUT'!Y11/1000,IF(B5=1,"N/A",""))</f>
        <v>416</v>
      </c>
      <c r="T5" t="s" s="480">
        <f>IF(Q5="calc",IF(P5="yes",'Window &amp; Door DATA INPUT'!U11/1000,('Parameters'!$S$4-'Window &amp; Door DATA INPUT'!Z11+'Parameters'!$Q$4)/1000),"")</f>
      </c>
      <c r="U5" t="s" s="480">
        <f>IF(Q5="calc",IF(T5&gt;M5,M5,T5),"")</f>
      </c>
      <c r="V5" t="s" s="480">
        <f>IF(AND(S5&gt;0,S5&lt;U5),S5,U5)</f>
      </c>
      <c r="W5" t="s" s="496">
        <f>IF(R5="calc",DEGREES(ASIN(V5/M5)),R5)</f>
      </c>
      <c r="X5" t="s" s="480">
        <f>IF(OR($H5="no",$B5=0),"",IF($I5='Parameters'!$K$15,$L5/($M5/2),$L5/$M5))</f>
      </c>
      <c r="Y5" t="s" s="480">
        <f>IF(OR($H5="no",$B5=0),"",IF($X5&lt;0.5,'Parameters'!$X$4,IF($X5&lt;1,'Parameters'!$Y$4,IF($X5&lt;2,'Parameters'!$Z$4,'Parameters'!$AA$4))))</f>
      </c>
      <c r="Z5" t="s" s="480">
        <f>IF(OR($H5="no",$B5=0),"",IF($X5&lt;0.5,'Parameters'!$X$5,IF($X5&lt;1,'Parameters'!$Y$5,IF($X5&lt;2,'Parameters'!$Z$5,'Parameters'!$AA$5))))</f>
      </c>
      <c r="AA5" t="s" s="480">
        <f>IF(OR($H5="no",$B5=0),"",IF($I5='Parameters'!$K$15,(2*($M5/2)*SIN(RADIANS($W5/2))),(2*$M5*SIN(RADIANS($W5/2)))))</f>
      </c>
      <c r="AB5" t="s" s="480">
        <f>IF(OR($H5="no",$B5=0),"",$Z5*(1-EXP(-$Y5*$W5)))</f>
      </c>
      <c r="AC5" t="s" s="480">
        <f>IF(OR($H5="no",$B5=0),"",IF($I5='Parameters'!$K$15,$AB5*$N5/2,$AB5*$N5))</f>
      </c>
      <c r="AD5" t="s" s="497">
        <f>IF(OR($H5="no",$B5=0),"",IF($I5='Parameters'!$K$15,$AC5*2/'Parameters'!$AB$4,$AC5/'Parameters'!$AB$4))</f>
      </c>
      <c r="AE5" t="s" s="487">
        <f>IF(AND(O5="B",Q5="calc"),V5,IF(AND(O5="C",Q5="calc"),'Window &amp; Door DATA INPUT'!T11/1000,""))</f>
      </c>
      <c r="AF5" t="s" s="414">
        <f>IF(AND(O5="B",Q5="input"),'Window &amp; Door DATA INPUT'!AA11,IF(AND(O5="C",Q5="input",P5="F"),'Window &amp; Door DATA INPUT'!V11,IF(AND(O5="C",P5="E"),0,IF(AND(O5="D"),0,IF(AND(B5=1,C5=0),"",(Q5))))))</f>
      </c>
      <c r="AG5" t="s" s="496">
        <f>IF(AF5="calc",DEGREES(ASIN(AE5/M5)),AF5)</f>
      </c>
      <c r="AH5" t="s" s="480">
        <f>IF(OR($H5="no",$C5=0),"",IF($I5='Parameters'!$K$15,$L5/($M5/2),$L5/$M5))</f>
      </c>
      <c r="AI5" t="s" s="480">
        <f>IF(OR($H5="no",$C5=0),"",IF($AH5&lt;0.5,'Parameters'!$X$4,IF($AH5&lt;1,'Parameters'!$Y$4,IF($AH5&lt;2,'Parameters'!$Z$4,'Parameters'!$AA$4))))</f>
      </c>
      <c r="AJ5" t="s" s="480">
        <f>IF(OR($H5="no",$C5=0),"",IF($AH5&lt;0.5,'Parameters'!$X$5,IF($AH5&lt;1,'Parameters'!$Y$5,IF($AH5&lt;2,'Parameters'!$Z$5,'Parameters'!$AA$5))))</f>
      </c>
      <c r="AK5" t="s" s="480">
        <f>IF(OR($H5="no",$C5=0),"",IF($I5='Parameters'!$K$15,(2*($M5/2)*SIN(RADIANS($AG5/2))),(2*$M5*SIN(RADIANS($AG5/2)))))</f>
      </c>
      <c r="AL5" t="s" s="480">
        <f>IF(OR($H5="no",$C5=0),"",$AJ5*(1-EXP(-$AI5*$AG5)))</f>
      </c>
      <c r="AM5" t="s" s="480">
        <f>IF(OR($H5="no",$C5=0),"",IF($I5='Parameters'!$K$15,$AL5*$N5/2,$AL5*$N5))</f>
      </c>
      <c r="AN5" t="s" s="497">
        <f>IF(OR($H5="no",$C5=0),"",IF($I5='Parameters'!$K$15,$AM5*2/'Parameters'!$AB$4,$AM5/'Parameters'!$AB$4))</f>
      </c>
      <c r="AO5" s="474"/>
      <c r="AP5" t="s" s="488">
        <f>'Parameters'!D5</f>
        <v>193</v>
      </c>
      <c r="AQ5" s="489">
        <f>IF(ISERROR(VLOOKUP($AP5,$D$4:$E$68,2,FALSE)),0,(VLOOKUP($AP5,$D$4:$E$68,2,FALSE)))</f>
        <v>7.7449</v>
      </c>
      <c r="AR5" s="489">
        <f>_xlfn.SUMIFS($J$4:$J$68,$D$4:$D$68,AP5)</f>
        <v>1.4014</v>
      </c>
      <c r="AS5" s="490">
        <f>IF(AQ5&gt;0,AR5/AQ5," ")</f>
        <v>0.180944879856422</v>
      </c>
      <c r="AT5" s="489">
        <f>_xlfn.SUMIFS($AD$4:$AD$68,$D$4:$D$68,AP5)</f>
        <v>1.83025641473627</v>
      </c>
      <c r="AU5" t="s" s="466">
        <f>IF(AR5=$BA$12,AS5,"")</f>
      </c>
      <c r="AV5" s="491"/>
      <c r="AW5" s="491"/>
      <c r="AX5" s="492"/>
      <c r="AY5" t="b" s="493">
        <f>IF(BA5=$BA$9,VLOOKUP($BD$4&amp;$BD$5&amp;AZ5,'Parameters'!$AG$4:$AO$19,9,FALSE))</f>
        <v>0</v>
      </c>
      <c r="AZ5" t="s" s="488">
        <v>203</v>
      </c>
      <c r="BA5" s="489">
        <f>_xlfn.SUMIFS($J$4:$J$68,$G$4:$G$68,AZ5)</f>
        <v>4.8984</v>
      </c>
      <c r="BB5" s="494"/>
      <c r="BC5" t="s" s="488">
        <v>419</v>
      </c>
      <c r="BD5" t="s" s="488">
        <f>'RESULTS'!D16</f>
        <v>246</v>
      </c>
      <c r="BE5" s="468"/>
      <c r="BF5" s="495"/>
      <c r="BG5" s="495"/>
      <c r="BH5" s="495"/>
      <c r="BI5" s="495"/>
      <c r="BJ5" s="441"/>
      <c r="BK5" s="441"/>
      <c r="BL5" s="441"/>
    </row>
    <row r="6" ht="16" customHeight="1">
      <c r="A6" s="470"/>
      <c r="B6" s="479">
        <f>IF('Window &amp; Door DATA INPUT'!B12&gt;1,1,0)</f>
        <v>1</v>
      </c>
      <c r="C6" s="479">
        <f>IF(AND(B6=1,OR(D6='Parameters'!$D$17,D6='Parameters'!$D$18,D6='Parameters'!$D$19,D6='Parameters'!$D$20,D6='Parameters'!$D$21)),1,0)</f>
        <v>0</v>
      </c>
      <c r="D6" t="s" s="480">
        <f>IF('Window &amp; Door DATA INPUT'!B12="","",'Window &amp; Door DATA INPUT'!B12)</f>
        <v>184</v>
      </c>
      <c r="E6" s="481">
        <f>IF('Window &amp; Door DATA INPUT'!D12="","",'Window &amp; Door DATA INPUT'!D12)</f>
        <v>6.4</v>
      </c>
      <c r="F6" t="s" s="480">
        <f>IF(B6=1,'Window &amp; Door DATA INPUT'!H12&amp;'RESULTS'!$H$5,"")</f>
        <v>412</v>
      </c>
      <c r="G6" t="s" s="480">
        <f>IF(B6=1,VLOOKUP(F6,'Parameters'!$H$4:$I$20,2,FALSE),"")</f>
        <v>178</v>
      </c>
      <c r="H6" t="s" s="480">
        <f>IF(OR('Window &amp; Door DATA INPUT'!J12='Parameters'!$K$4,'Window &amp; Door DATA INPUT'!J12='Parameters'!$K$11),"No",IF('Window &amp; Door DATA INPUT'!K12="","",'Window &amp; Door DATA INPUT'!K12))</f>
        <v>199</v>
      </c>
      <c r="I6" t="s" s="414">
        <f>IF('Window &amp; Door DATA INPUT'!J12="","",'Window &amp; Door DATA INPUT'!J12)</f>
        <v>183</v>
      </c>
      <c r="J6" s="482">
        <f>IF('Window &amp; Door DATA INPUT'!L12='Parameters'!$O$5,'Window &amp; Door DATA INPUT'!O12,IF(B6=1,'Window &amp; Door DATA INPUT'!N12*'Window &amp; Door DATA INPUT'!M12,""))</f>
        <v>0.4368</v>
      </c>
      <c r="K6" t="s" s="414">
        <f>IF('Window &amp; Door DATA INPUT'!J12="","",VLOOKUP('Window &amp; Door DATA INPUT'!J12,'Parameters'!$K$4:$L$16,2,FALSE))</f>
        <v>416</v>
      </c>
      <c r="L6" t="s" s="480">
        <f>IF($H6="yes",IF($K6="Y",'Window &amp; Door DATA INPUT'!Q12,IF($K6="N",'Window &amp; Door DATA INPUT'!P12)),"")</f>
      </c>
      <c r="M6" t="s" s="480">
        <f>IF($H6="yes",IF($K6="Y",'Window &amp; Door DATA INPUT'!P12,IF($K6="N",'Window &amp; Door DATA INPUT'!Q12)),"")</f>
      </c>
      <c r="N6" t="s" s="480">
        <f>IF(L6="","",L6*M6)</f>
      </c>
      <c r="O6" t="s" s="414">
        <f>IF(AND(B6=1,C6=0,H6="yes"),"A",IF(AND(C6=1,H6="yes",'Window &amp; Door DATA INPUT'!R12="no"),"B",IF(AND(C6=1,H6="yes",'Window &amp; Door DATA INPUT'!R12="yes",'Window &amp; Door DATA INPUT'!S12="yes"),"C",IF(AND(C6=1,H6="yes",'Window &amp; Door DATA INPUT'!R12="yes",'Window &amp; Door DATA INPUT'!S12="no"),"D",""))))</f>
      </c>
      <c r="P6" t="s" s="414">
        <f>IF(AND(C6=1,H6="yes",OR(I6='Parameters'!$K$12,I6='Parameters'!$K$13,I6='Parameters'!$K$14)),"E",IF(AND(C6=1,H6="yes",NOT(OR(I6='Parameters'!$K$12,I6='Parameters'!$K$13,I6='Parameters'!$K$14))),"F",""))</f>
      </c>
      <c r="Q6" t="s" s="414">
        <f>IF(AND(B6=1,H6="yes"),VLOOKUP(I6,'Parameters'!$K$4:$M$16,3,FALSE),"")</f>
      </c>
      <c r="R6" t="s" s="414">
        <f>IF(AND(OR(O6="A",O6="B",O6="d"),Q6="input"),'Window &amp; Door DATA INPUT'!AA12,IF(AND(O6="C",Q6="input"),'Window &amp; Door DATA INPUT'!W12,Q6))</f>
      </c>
      <c r="S6" t="s" s="414">
        <f>IF('Window &amp; Door DATA INPUT'!X12="Yes",'Window &amp; Door DATA INPUT'!Y12/1000,IF(B6=1,"N/A",""))</f>
        <v>416</v>
      </c>
      <c r="T6" t="s" s="480">
        <f>IF(Q6="calc",IF(P6="yes",'Window &amp; Door DATA INPUT'!U12/1000,('Parameters'!$S$4-'Window &amp; Door DATA INPUT'!Z12+'Parameters'!$Q$4)/1000),"")</f>
      </c>
      <c r="U6" t="s" s="480">
        <f>IF(Q6="calc",IF(T6&gt;M6,M6,T6),"")</f>
      </c>
      <c r="V6" t="s" s="480">
        <f>IF(AND(S6&gt;0,S6&lt;U6),S6,U6)</f>
      </c>
      <c r="W6" t="s" s="496">
        <f>IF(R6="calc",DEGREES(ASIN(V6/M6)),R6)</f>
      </c>
      <c r="X6" t="s" s="480">
        <f>IF(OR($H6="no",$B6=0),"",IF($I6='Parameters'!$K$15,$L6/($M6/2),$L6/$M6))</f>
      </c>
      <c r="Y6" t="s" s="480">
        <f>IF(OR($H6="no",$B6=0),"",IF($X6&lt;0.5,'Parameters'!$X$4,IF($X6&lt;1,'Parameters'!$Y$4,IF($X6&lt;2,'Parameters'!$Z$4,'Parameters'!$AA$4))))</f>
      </c>
      <c r="Z6" t="s" s="480">
        <f>IF(OR($H6="no",$B6=0),"",IF($X6&lt;0.5,'Parameters'!$X$5,IF($X6&lt;1,'Parameters'!$Y$5,IF($X6&lt;2,'Parameters'!$Z$5,'Parameters'!$AA$5))))</f>
      </c>
      <c r="AA6" t="s" s="480">
        <f>IF(OR($H6="no",$B6=0),"",IF($I6='Parameters'!$K$15,(2*($M6/2)*SIN(RADIANS($W6/2))),(2*$M6*SIN(RADIANS($W6/2)))))</f>
      </c>
      <c r="AB6" t="s" s="480">
        <f>IF(OR($H6="no",$B6=0),"",$Z6*(1-EXP(-$Y6*$W6)))</f>
      </c>
      <c r="AC6" t="s" s="480">
        <f>IF(OR($H6="no",$B6=0),"",IF($I6='Parameters'!$K$15,$AB6*$N6/2,$AB6*$N6))</f>
      </c>
      <c r="AD6" t="s" s="497">
        <f>IF(OR($H6="no",$B6=0),"",IF($I6='Parameters'!$K$15,$AC6*2/'Parameters'!$AB$4,$AC6/'Parameters'!$AB$4))</f>
      </c>
      <c r="AE6" t="s" s="487">
        <f>IF(AND(O6="B",Q6="calc"),V6,IF(AND(O6="C",Q6="calc"),'Window &amp; Door DATA INPUT'!T12/1000,""))</f>
      </c>
      <c r="AF6" t="s" s="414">
        <f>IF(AND(O6="B",Q6="input"),'Window &amp; Door DATA INPUT'!AA12,IF(AND(O6="C",Q6="input",P6="F"),'Window &amp; Door DATA INPUT'!V12,IF(AND(O6="C",P6="E"),0,IF(AND(O6="D"),0,IF(AND(B6=1,C6=0),"",(Q6))))))</f>
      </c>
      <c r="AG6" t="s" s="496">
        <f>IF(AF6="calc",DEGREES(ASIN(AE6/M6)),AF6)</f>
      </c>
      <c r="AH6" t="s" s="480">
        <f>IF(OR($H6="no",$C6=0),"",IF($I6='Parameters'!$K$15,$L6/($M6/2),$L6/$M6))</f>
      </c>
      <c r="AI6" t="s" s="480">
        <f>IF(OR($H6="no",$C6=0),"",IF($AH6&lt;0.5,'Parameters'!$X$4,IF($AH6&lt;1,'Parameters'!$Y$4,IF($AH6&lt;2,'Parameters'!$Z$4,'Parameters'!$AA$4))))</f>
      </c>
      <c r="AJ6" t="s" s="480">
        <f>IF(OR($H6="no",$C6=0),"",IF($AH6&lt;0.5,'Parameters'!$X$5,IF($AH6&lt;1,'Parameters'!$Y$5,IF($AH6&lt;2,'Parameters'!$Z$5,'Parameters'!$AA$5))))</f>
      </c>
      <c r="AK6" t="s" s="480">
        <f>IF(OR($H6="no",$C6=0),"",IF($I6='Parameters'!$K$15,(2*($M6/2)*SIN(RADIANS($AG6/2))),(2*$M6*SIN(RADIANS($AG6/2)))))</f>
      </c>
      <c r="AL6" t="s" s="480">
        <f>IF(OR($H6="no",$C6=0),"",$AJ6*(1-EXP(-$AI6*$AG6)))</f>
      </c>
      <c r="AM6" t="s" s="480">
        <f>IF(OR($H6="no",$C6=0),"",IF($I6='Parameters'!$K$15,$AL6*$N6/2,$AL6*$N6))</f>
      </c>
      <c r="AN6" t="s" s="497">
        <f>IF(OR($H6="no",$C6=0),"",IF($I6='Parameters'!$K$15,$AM6*2/'Parameters'!$AB$4,$AM6/'Parameters'!$AB$4))</f>
      </c>
      <c r="AO6" s="474"/>
      <c r="AP6" t="s" s="488">
        <f>'Parameters'!D6</f>
        <v>420</v>
      </c>
      <c r="AQ6" s="489">
        <f>IF(ISERROR(VLOOKUP($AP6,$D$4:$E$68,2,FALSE)),0,(VLOOKUP($AP6,$D$4:$E$68,2,FALSE)))</f>
        <v>0</v>
      </c>
      <c r="AR6" s="489">
        <f>_xlfn.SUMIFS($J$4:$J$68,$D$4:$D$68,AP6)</f>
        <v>0</v>
      </c>
      <c r="AS6" t="s" s="466">
        <f>IF(AQ6&gt;0,AR6/AQ6," ")</f>
        <v>421</v>
      </c>
      <c r="AT6" s="489">
        <f>_xlfn.SUMIFS($AD$4:$AD$68,$D$4:$D$68,AP6)</f>
        <v>0</v>
      </c>
      <c r="AU6" t="s" s="466">
        <f>IF(AR6=$BA$12,AS6,"")</f>
      </c>
      <c r="AV6" s="491"/>
      <c r="AW6" s="491"/>
      <c r="AX6" s="492"/>
      <c r="AY6" t="b" s="493">
        <f>IF(BA6=$BA$9,VLOOKUP($BD$4&amp;$BD$5&amp;AZ6,'Parameters'!$AG$4:$AO$19,9,FALSE))</f>
        <v>0</v>
      </c>
      <c r="AZ6" t="s" s="488">
        <v>189</v>
      </c>
      <c r="BA6" s="489">
        <f>_xlfn.SUMIFS($J$4:$J$68,$G$4:$G$68,AZ6)</f>
        <v>6.4766</v>
      </c>
      <c r="BB6" s="494"/>
      <c r="BC6" t="s" s="488">
        <v>422</v>
      </c>
      <c r="BD6" t="s" s="217">
        <f>VLOOKUP(MIN(AY4:AY7),AY4:AZ7,2,FALSE)</f>
        <v>207</v>
      </c>
      <c r="BE6" s="468"/>
      <c r="BF6" s="498"/>
      <c r="BG6" s="498"/>
      <c r="BH6" s="498"/>
      <c r="BI6" s="498"/>
      <c r="BJ6" s="441"/>
      <c r="BK6" s="441"/>
      <c r="BL6" s="441"/>
    </row>
    <row r="7" ht="16" customHeight="1">
      <c r="A7" s="470"/>
      <c r="B7" s="479">
        <f>IF('Window &amp; Door DATA INPUT'!B13&gt;1,1,0)</f>
        <v>1</v>
      </c>
      <c r="C7" s="479">
        <f>IF(AND(B7=1,OR(D7='Parameters'!$D$17,D7='Parameters'!$D$18,D7='Parameters'!$D$19,D7='Parameters'!$D$20,D7='Parameters'!$D$21)),1,0)</f>
        <v>0</v>
      </c>
      <c r="D7" t="s" s="480">
        <f>IF('Window &amp; Door DATA INPUT'!B13="","",'Window &amp; Door DATA INPUT'!B13)</f>
        <v>187</v>
      </c>
      <c r="E7" s="481">
        <f>IF('Window &amp; Door DATA INPUT'!D13="","",'Window &amp; Door DATA INPUT'!D13)</f>
        <v>6</v>
      </c>
      <c r="F7" t="s" s="480">
        <f>IF(B7=1,'Window &amp; Door DATA INPUT'!H13&amp;'RESULTS'!$H$5,"")</f>
        <v>423</v>
      </c>
      <c r="G7" t="s" s="480">
        <f>IF(B7=1,VLOOKUP(F7,'Parameters'!$H$4:$I$20,2,FALSE),"")</f>
        <v>189</v>
      </c>
      <c r="H7" t="s" s="414">
        <f>IF(OR('Window &amp; Door DATA INPUT'!J13='Parameters'!$K$4,'Window &amp; Door DATA INPUT'!J13='Parameters'!$K$11),"No",IF('Window &amp; Door DATA INPUT'!K13="","",'Window &amp; Door DATA INPUT'!K13))</f>
        <v>138</v>
      </c>
      <c r="I7" t="s" s="414">
        <f>IF('Window &amp; Door DATA INPUT'!J13="","",'Window &amp; Door DATA INPUT'!J13)</f>
        <v>179</v>
      </c>
      <c r="J7" s="482">
        <f>IF('Window &amp; Door DATA INPUT'!L13='Parameters'!$O$5,'Window &amp; Door DATA INPUT'!O13,IF(B7=1,'Window &amp; Door DATA INPUT'!N13*'Window &amp; Door DATA INPUT'!M13,""))</f>
        <v>0.231</v>
      </c>
      <c r="K7" t="s" s="414">
        <f>IF('Window &amp; Door DATA INPUT'!J13="","",VLOOKUP('Window &amp; Door DATA INPUT'!J13,'Parameters'!$K$4:$L$16,2,FALSE))</f>
        <v>413</v>
      </c>
      <c r="L7" s="483">
        <f>IF($H7="yes",IF($K7="Y",'Window &amp; Door DATA INPUT'!Q13,IF($K7="N",'Window &amp; Door DATA INPUT'!P13)),"")</f>
        <v>0.42</v>
      </c>
      <c r="M7" s="483">
        <f>IF($H7="yes",IF($K7="Y",'Window &amp; Door DATA INPUT'!P13,IF($K7="N",'Window &amp; Door DATA INPUT'!Q13)),"")</f>
        <v>0.74</v>
      </c>
      <c r="N7" s="482">
        <f>IF(L7="","",L7*M7)</f>
        <v>0.3108</v>
      </c>
      <c r="O7" t="s" s="414">
        <f>IF(AND(B7=1,C7=0,H7="yes"),"A",IF(AND(C7=1,H7="yes",'Window &amp; Door DATA INPUT'!R13="no"),"B",IF(AND(C7=1,H7="yes",'Window &amp; Door DATA INPUT'!R13="yes",'Window &amp; Door DATA INPUT'!S13="yes"),"C",IF(AND(C7=1,H7="yes",'Window &amp; Door DATA INPUT'!R13="yes",'Window &amp; Door DATA INPUT'!S13="no"),"D",""))))</f>
        <v>230</v>
      </c>
      <c r="P7" t="s" s="414">
        <f>IF(AND(C7=1,H7="yes",OR(I7='Parameters'!$K$12,I7='Parameters'!$K$13,I7='Parameters'!$K$14)),"E",IF(AND(C7=1,H7="yes",NOT(OR(I7='Parameters'!$K$12,I7='Parameters'!$K$13,I7='Parameters'!$K$14))),"F",""))</f>
      </c>
      <c r="Q7" t="s" s="414">
        <f>IF(AND(B7=1,H7="yes"),VLOOKUP(I7,'Parameters'!$K$4:$M$16,3,FALSE),"")</f>
        <v>415</v>
      </c>
      <c r="R7" s="484">
        <f>IF(AND(OR(O7="A",O7="B",O7="d"),Q7="input"),'Window &amp; Door DATA INPUT'!AA13,IF(AND(O7="C",Q7="input"),'Window &amp; Door DATA INPUT'!W13,Q7))</f>
        <v>90</v>
      </c>
      <c r="S7" t="s" s="414">
        <f>IF('Window &amp; Door DATA INPUT'!X13="Yes",'Window &amp; Door DATA INPUT'!Y13/1000,IF(B7=1,"N/A",""))</f>
        <v>416</v>
      </c>
      <c r="T7" t="s" s="480">
        <f>IF(Q7="calc",IF(P7="yes",'Window &amp; Door DATA INPUT'!U13/1000,('Parameters'!$S$4-'Window &amp; Door DATA INPUT'!Z13+'Parameters'!$Q$4)/1000),"")</f>
      </c>
      <c r="U7" t="s" s="480">
        <f>IF(Q7="calc",IF(T7&gt;M7,M7,T7),"")</f>
      </c>
      <c r="V7" t="s" s="480">
        <f>IF(AND(S7&gt;0,S7&lt;U7),S7,U7)</f>
      </c>
      <c r="W7" s="485">
        <f>IF(R7="calc",DEGREES(ASIN(V7/M7)),R7)</f>
        <v>90</v>
      </c>
      <c r="X7" s="483">
        <f>IF(OR($H7="no",$B7=0),"",IF($I7='Parameters'!$K$15,$L7/($M7/2),$L7/$M7))</f>
        <v>0.567567567567568</v>
      </c>
      <c r="Y7" s="483">
        <f>IF(OR($H7="no",$B7=0),"",IF($X7&lt;0.5,'Parameters'!$X$4,IF($X7&lt;1,'Parameters'!$Y$4,IF($X7&lt;2,'Parameters'!$Z$4,'Parameters'!$AA$4))))</f>
        <v>0.0478352593239432</v>
      </c>
      <c r="Z7" s="483">
        <f>IF(OR($H7="no",$B7=0),"",IF($X7&lt;0.5,'Parameters'!$X$5,IF($X7&lt;1,'Parameters'!$Y$5,IF($X7&lt;2,'Parameters'!$Z$5,'Parameters'!$AA$5))))</f>
        <v>0.588607594936709</v>
      </c>
      <c r="AA7" s="483">
        <f>IF(OR($H7="no",$B7=0),"",IF($I7='Parameters'!$K$15,(2*($M7/2)*SIN(RADIANS($W7/2))),(2*$M7*SIN(RADIANS($W7/2)))))</f>
        <v>1.04651803615609</v>
      </c>
      <c r="AB7" s="483">
        <f>IF(OR($H7="no",$B7=0),"",$Z7*(1-EXP(-$Y7*$W7)))</f>
        <v>0.580662248527437</v>
      </c>
      <c r="AC7" s="483">
        <f>IF(OR($H7="no",$B7=0),"",IF($I7='Parameters'!$K$15,$AB7*$N7/2,$AB7*$N7))</f>
        <v>0.180469826842327</v>
      </c>
      <c r="AD7" s="486">
        <f>IF(OR($H7="no",$B7=0),"",IF($I7='Parameters'!$K$15,$AC7*2/'Parameters'!$AB$4,$AC7/'Parameters'!$AB$4))</f>
        <v>0.291080365874721</v>
      </c>
      <c r="AE7" t="s" s="487">
        <f>IF(AND(O7="B",Q7="calc"),V7,IF(AND(O7="C",Q7="calc"),'Window &amp; Door DATA INPUT'!T13/1000,""))</f>
      </c>
      <c r="AF7" t="s" s="414">
        <f>IF(AND(O7="B",Q7="input"),'Window &amp; Door DATA INPUT'!AA13,IF(AND(O7="C",Q7="input",P7="F"),'Window &amp; Door DATA INPUT'!V13,IF(AND(O7="C",P7="E"),0,IF(AND(O7="D"),0,IF(AND(B7=1,C7=0),"",(Q7))))))</f>
      </c>
      <c r="AG7" t="s" s="496">
        <f>IF(AF7="calc",DEGREES(ASIN(AE7/M7)),AF7)</f>
      </c>
      <c r="AH7" t="s" s="480">
        <f>IF(OR($H7="no",$C7=0),"",IF($I7='Parameters'!$K$15,$L7/($M7/2),$L7/$M7))</f>
      </c>
      <c r="AI7" t="s" s="480">
        <f>IF(OR($H7="no",$C7=0),"",IF($AH7&lt;0.5,'Parameters'!$X$4,IF($AH7&lt;1,'Parameters'!$Y$4,IF($AH7&lt;2,'Parameters'!$Z$4,'Parameters'!$AA$4))))</f>
      </c>
      <c r="AJ7" t="s" s="480">
        <f>IF(OR($H7="no",$C7=0),"",IF($AH7&lt;0.5,'Parameters'!$X$5,IF($AH7&lt;1,'Parameters'!$Y$5,IF($AH7&lt;2,'Parameters'!$Z$5,'Parameters'!$AA$5))))</f>
      </c>
      <c r="AK7" t="s" s="480">
        <f>IF(OR($H7="no",$C7=0),"",IF($I7='Parameters'!$K$15,(2*($M7/2)*SIN(RADIANS($AG7/2))),(2*$M7*SIN(RADIANS($AG7/2)))))</f>
      </c>
      <c r="AL7" t="s" s="480">
        <f>IF(OR($H7="no",$C7=0),"",$AJ7*(1-EXP(-$AI7*$AG7)))</f>
      </c>
      <c r="AM7" t="s" s="480">
        <f>IF(OR($H7="no",$C7=0),"",IF($I7='Parameters'!$K$15,$AL7*$N7/2,$AL7*$N7))</f>
      </c>
      <c r="AN7" t="s" s="497">
        <f>IF(OR($H7="no",$C7=0),"",IF($I7='Parameters'!$K$15,$AM7*2/'Parameters'!$AB$4,$AM7/'Parameters'!$AB$4))</f>
      </c>
      <c r="AO7" s="474"/>
      <c r="AP7" t="s" s="488">
        <f>'Parameters'!D7</f>
        <v>424</v>
      </c>
      <c r="AQ7" s="489">
        <f>IF(ISERROR(VLOOKUP($AP7,$D$4:$E$68,2,FALSE)),0,(VLOOKUP($AP7,$D$4:$E$68,2,FALSE)))</f>
        <v>0</v>
      </c>
      <c r="AR7" s="489">
        <f>_xlfn.SUMIFS($J$4:$J$68,$D$4:$D$68,AP7)</f>
        <v>0</v>
      </c>
      <c r="AS7" t="s" s="466">
        <f>IF(AQ7&gt;0,AR7/AQ7," ")</f>
        <v>421</v>
      </c>
      <c r="AT7" s="489">
        <f>_xlfn.SUMIFS($AD$4:$AD$68,$D$4:$D$68,AP7)</f>
        <v>0</v>
      </c>
      <c r="AU7" t="s" s="466">
        <f>IF(AR7=$BA$12,AS7,"")</f>
      </c>
      <c r="AV7" s="491"/>
      <c r="AW7" s="491"/>
      <c r="AX7" s="492"/>
      <c r="AY7" t="b" s="493">
        <f>IF(BA7=$BA$9,VLOOKUP($BD$4&amp;$BD$5&amp;AZ7,'Parameters'!$AG$4:$AO$19,9,FALSE))</f>
        <v>0</v>
      </c>
      <c r="AZ7" t="s" s="488">
        <v>178</v>
      </c>
      <c r="BA7" s="489">
        <f>_xlfn.SUMIFS($J$4:$J$68,$G$4:$G$68,AZ7)</f>
        <v>2.0016</v>
      </c>
      <c r="BB7" s="494"/>
      <c r="BC7" t="s" s="488">
        <v>243</v>
      </c>
      <c r="BD7" t="s" s="488">
        <f>'RESULTS'!D15</f>
        <v>425</v>
      </c>
      <c r="BE7" s="468"/>
      <c r="BF7" s="498"/>
      <c r="BG7" s="441"/>
      <c r="BH7" s="498"/>
      <c r="BI7" s="498"/>
      <c r="BJ7" s="441"/>
      <c r="BK7" s="441"/>
      <c r="BL7" s="441"/>
    </row>
    <row r="8" ht="16" customHeight="1">
      <c r="A8" s="470"/>
      <c r="B8" s="479">
        <f>IF('Window &amp; Door DATA INPUT'!B14&gt;1,1,0)</f>
        <v>1</v>
      </c>
      <c r="C8" s="479">
        <f>IF(AND(B8=1,OR(D8='Parameters'!$D$17,D8='Parameters'!$D$18,D8='Parameters'!$D$19,D8='Parameters'!$D$20,D8='Parameters'!$D$21)),1,0)</f>
        <v>1</v>
      </c>
      <c r="D8" t="s" s="480">
        <f>IF('Window &amp; Door DATA INPUT'!B14="","",'Window &amp; Door DATA INPUT'!B14)</f>
        <v>190</v>
      </c>
      <c r="E8" s="481">
        <f>IF('Window &amp; Door DATA INPUT'!D14="","",'Window &amp; Door DATA INPUT'!D14)</f>
        <v>17.9</v>
      </c>
      <c r="F8" t="s" s="480">
        <f>IF(B8=1,'Window &amp; Door DATA INPUT'!H14&amp;'RESULTS'!$H$5,"")</f>
        <v>423</v>
      </c>
      <c r="G8" t="s" s="480">
        <f>IF(B8=1,VLOOKUP(F8,'Parameters'!$H$4:$I$20,2,FALSE),"")</f>
        <v>189</v>
      </c>
      <c r="H8" t="s" s="414">
        <f>IF(OR('Window &amp; Door DATA INPUT'!J14='Parameters'!$K$4,'Window &amp; Door DATA INPUT'!J14='Parameters'!$K$11),"No",IF('Window &amp; Door DATA INPUT'!K14="","",'Window &amp; Door DATA INPUT'!K14))</f>
        <v>138</v>
      </c>
      <c r="I8" t="s" s="414">
        <f>IF('Window &amp; Door DATA INPUT'!J14="","",'Window &amp; Door DATA INPUT'!J14)</f>
        <v>179</v>
      </c>
      <c r="J8" s="482">
        <f>IF('Window &amp; Door DATA INPUT'!L14='Parameters'!$O$5,'Window &amp; Door DATA INPUT'!O14,IF(B8=1,'Window &amp; Door DATA INPUT'!N14*'Window &amp; Door DATA INPUT'!M14,""))</f>
        <v>1.575</v>
      </c>
      <c r="K8" t="s" s="414">
        <f>IF('Window &amp; Door DATA INPUT'!J14="","",VLOOKUP('Window &amp; Door DATA INPUT'!J14,'Parameters'!$K$4:$L$16,2,FALSE))</f>
        <v>413</v>
      </c>
      <c r="L8" s="483">
        <f>IF($H8="yes",IF($K8="Y",'Window &amp; Door DATA INPUT'!Q14,IF($K8="N",'Window &amp; Door DATA INPUT'!P14)),"")</f>
        <v>1.32</v>
      </c>
      <c r="M8" s="483">
        <f>IF($H8="yes",IF($K8="Y",'Window &amp; Door DATA INPUT'!P14,IF($K8="N",'Window &amp; Door DATA INPUT'!Q14)),"")</f>
        <v>1.34</v>
      </c>
      <c r="N8" s="482">
        <f>IF(L8="","",L8*M8)</f>
        <v>1.7688</v>
      </c>
      <c r="O8" t="s" s="414">
        <f>IF(AND(B8=1,C8=0,H8="yes"),"A",IF(AND(C8=1,H8="yes",'Window &amp; Door DATA INPUT'!R14="no"),"B",IF(AND(C8=1,H8="yes",'Window &amp; Door DATA INPUT'!R14="yes",'Window &amp; Door DATA INPUT'!S14="yes"),"C",IF(AND(C8=1,H8="yes",'Window &amp; Door DATA INPUT'!R14="yes",'Window &amp; Door DATA INPUT'!S14="no"),"D",""))))</f>
        <v>250</v>
      </c>
      <c r="P8" t="s" s="414">
        <f>IF(AND(C8=1,H8="yes",OR(I8='Parameters'!$K$12,I8='Parameters'!$K$13,I8='Parameters'!$K$14)),"E",IF(AND(C8=1,H8="yes",NOT(OR(I8='Parameters'!$K$12,I8='Parameters'!$K$13,I8='Parameters'!$K$14))),"F",""))</f>
        <v>414</v>
      </c>
      <c r="Q8" t="s" s="414">
        <f>IF(AND(B8=1,H8="yes"),VLOOKUP(I8,'Parameters'!$K$4:$M$16,3,FALSE),"")</f>
        <v>415</v>
      </c>
      <c r="R8" s="484">
        <f>IF(AND(OR(O8="A",O8="B",O8="d"),Q8="input"),'Window &amp; Door DATA INPUT'!AA14,IF(AND(O8="C",Q8="input"),'Window &amp; Door DATA INPUT'!W14,Q8))</f>
        <v>90</v>
      </c>
      <c r="S8" t="s" s="414">
        <f>IF('Window &amp; Door DATA INPUT'!X14="Yes",'Window &amp; Door DATA INPUT'!Y14/1000,IF(B8=1,"N/A",""))</f>
        <v>416</v>
      </c>
      <c r="T8" t="s" s="480">
        <f>IF(Q8="calc",IF(P8="yes",'Window &amp; Door DATA INPUT'!U14/1000,('Parameters'!$S$4-'Window &amp; Door DATA INPUT'!Z14+'Parameters'!$Q$4)/1000),"")</f>
      </c>
      <c r="U8" t="s" s="480">
        <f>IF(Q8="calc",IF(T8&gt;M8,M8,T8),"")</f>
      </c>
      <c r="V8" t="s" s="480">
        <f>IF(AND(S8&gt;0,S8&lt;U8),S8,U8)</f>
      </c>
      <c r="W8" s="485">
        <f>IF(R8="calc",DEGREES(ASIN(V8/M8)),R8)</f>
        <v>90</v>
      </c>
      <c r="X8" s="483">
        <f>IF(OR($H8="no",$B8=0),"",IF($I8='Parameters'!$K$15,$L8/($M8/2),$L8/$M8))</f>
        <v>0.985074626865672</v>
      </c>
      <c r="Y8" s="483">
        <f>IF(OR($H8="no",$B8=0),"",IF($X8&lt;0.5,'Parameters'!$X$4,IF($X8&lt;1,'Parameters'!$Y$4,IF($X8&lt;2,'Parameters'!$Z$4,'Parameters'!$AA$4))))</f>
        <v>0.0478352593239432</v>
      </c>
      <c r="Z8" s="483">
        <f>IF(OR($H8="no",$B8=0),"",IF($X8&lt;0.5,'Parameters'!$X$5,IF($X8&lt;1,'Parameters'!$Y$5,IF($X8&lt;2,'Parameters'!$Z$5,'Parameters'!$AA$5))))</f>
        <v>0.588607594936709</v>
      </c>
      <c r="AA8" s="483">
        <f>IF(OR($H8="no",$B8=0),"",IF($I8='Parameters'!$K$15,(2*($M8/2)*SIN(RADIANS($W8/2))),(2*$M8*SIN(RADIANS($W8/2)))))</f>
        <v>1.89504617357995</v>
      </c>
      <c r="AB8" s="483">
        <f>IF(OR($H8="no",$B8=0),"",$Z8*(1-EXP(-$Y8*$W8)))</f>
        <v>0.580662248527437</v>
      </c>
      <c r="AC8" s="483">
        <f>IF(OR($H8="no",$B8=0),"",IF($I8='Parameters'!$K$15,$AB8*$N8/2,$AB8*$N8))</f>
        <v>1.02707538519533</v>
      </c>
      <c r="AD8" s="486">
        <f>IF(OR($H8="no",$B8=0),"",IF($I8='Parameters'!$K$15,$AC8*2/'Parameters'!$AB$4,$AC8/'Parameters'!$AB$4))</f>
        <v>1.65657320192795</v>
      </c>
      <c r="AE8" t="s" s="487">
        <f>IF(AND(O8="B",Q8="calc"),V8,IF(AND(O8="C",Q8="calc"),'Window &amp; Door DATA INPUT'!T14/1000,""))</f>
      </c>
      <c r="AF8" s="484">
        <f>IF(AND(O8="B",Q8="input"),'Window &amp; Door DATA INPUT'!AA14,IF(AND(O8="C",Q8="input",P8="F"),'Window &amp; Door DATA INPUT'!V14,IF(AND(O8="C",P8="E"),0,IF(AND(O8="D"),0,IF(AND(B8=1,C8=0),"",(Q8))))))</f>
        <v>15</v>
      </c>
      <c r="AG8" s="485">
        <f>IF(AF8="calc",DEGREES(ASIN(AE8/M8)),AF8)</f>
        <v>15</v>
      </c>
      <c r="AH8" s="483">
        <f>IF(OR($H8="no",$C8=0),"",IF($I8='Parameters'!$K$15,$L8/($M8/2),$L8/$M8))</f>
        <v>0.985074626865672</v>
      </c>
      <c r="AI8" s="483">
        <f>IF(OR($H8="no",$C8=0),"",IF($AH8&lt;0.5,'Parameters'!$X$4,IF($AH8&lt;1,'Parameters'!$Y$4,IF($AH8&lt;2,'Parameters'!$Z$4,'Parameters'!$AA$4))))</f>
        <v>0.0478352593239432</v>
      </c>
      <c r="AJ8" s="483">
        <f>IF(OR($H8="no",$C8=0),"",IF($AH8&lt;0.5,'Parameters'!$X$5,IF($AH8&lt;1,'Parameters'!$Y$5,IF($AH8&lt;2,'Parameters'!$Z$5,'Parameters'!$AA$5))))</f>
        <v>0.588607594936709</v>
      </c>
      <c r="AK8" s="483">
        <f>IF(OR($H8="no",$C8=0),"",IF($I8='Parameters'!$K$15,(2*($M8/2)*SIN(RADIANS($AG8/2))),(2*$M8*SIN(RADIANS($AG8/2)))))</f>
        <v>0.349810195149738</v>
      </c>
      <c r="AL8" s="483">
        <f>IF(OR($H8="no",$C8=0),"",$AJ8*(1-EXP(-$AI8*$AG8)))</f>
        <v>0.301392656680227</v>
      </c>
      <c r="AM8" s="483">
        <f>IF(OR($H8="no",$C8=0),"",IF($I8='Parameters'!$K$15,$AL8*$N8/2,$AL8*$N8))</f>
        <v>0.533103331135986</v>
      </c>
      <c r="AN8" s="486">
        <f>IF(OR($H8="no",$C8=0),"",IF($I8='Parameters'!$K$15,$AM8*2/'Parameters'!$AB$4,$AM8/'Parameters'!$AB$4))</f>
        <v>0.859844082477397</v>
      </c>
      <c r="AO8" s="474"/>
      <c r="AP8" t="s" s="488">
        <f>'Parameters'!D8</f>
        <v>208</v>
      </c>
      <c r="AQ8" s="489">
        <f>IF(ISERROR(VLOOKUP($AP8,$D$4:$E$68,2,FALSE)),0,(VLOOKUP($AP8,$D$4:$E$68,2,FALSE)))</f>
        <v>7.7449</v>
      </c>
      <c r="AR8" s="489">
        <f>_xlfn.SUMIFS($J$4:$J$68,$D$4:$D$68,AP8)</f>
        <v>1.9864</v>
      </c>
      <c r="AS8" s="490">
        <f>IF(AQ8&gt;0,AR8/AQ8," ")</f>
        <v>0.25647845679092</v>
      </c>
      <c r="AT8" s="489">
        <f>_xlfn.SUMIFS($AD$4:$AD$68,$D$4:$D$68,AP8)</f>
        <v>1.75380409111695</v>
      </c>
      <c r="AU8" t="s" s="466">
        <f>IF(AR8=$BA$12,AS8,"")</f>
      </c>
      <c r="AV8" s="491"/>
      <c r="AW8" s="491"/>
      <c r="AX8" s="499"/>
      <c r="AY8" s="500"/>
      <c r="AZ8" s="500"/>
      <c r="BA8" s="500"/>
      <c r="BB8" s="470"/>
      <c r="BC8" t="s" s="488">
        <v>426</v>
      </c>
      <c r="BD8" s="501">
        <f>AQ31</f>
        <v>135</v>
      </c>
      <c r="BE8" s="468"/>
      <c r="BF8" s="495"/>
      <c r="BG8" s="495"/>
      <c r="BH8" s="495"/>
      <c r="BI8" s="495"/>
      <c r="BJ8" s="441"/>
      <c r="BK8" s="441"/>
      <c r="BL8" s="441"/>
    </row>
    <row r="9" ht="16" customHeight="1">
      <c r="A9" s="470"/>
      <c r="B9" s="479">
        <f>IF('Window &amp; Door DATA INPUT'!B15&gt;1,1,0)</f>
        <v>1</v>
      </c>
      <c r="C9" s="479">
        <f>IF(AND(B9=1,OR(D9='Parameters'!$D$17,D9='Parameters'!$D$18,D9='Parameters'!$D$19,D9='Parameters'!$D$20,D9='Parameters'!$D$21)),1,0)</f>
        <v>0</v>
      </c>
      <c r="D9" t="s" s="480">
        <f>IF('Window &amp; Door DATA INPUT'!B15="","",'Window &amp; Door DATA INPUT'!B15)</f>
        <v>193</v>
      </c>
      <c r="E9" s="481">
        <f>IF('Window &amp; Door DATA INPUT'!D15="","",'Window &amp; Door DATA INPUT'!D15)</f>
        <v>7.7449</v>
      </c>
      <c r="F9" t="s" s="480">
        <f>IF(B9=1,'Window &amp; Door DATA INPUT'!H15&amp;'RESULTS'!$H$5,"")</f>
        <v>423</v>
      </c>
      <c r="G9" t="s" s="480">
        <f>IF(B9=1,VLOOKUP(F9,'Parameters'!$H$4:$I$20,2,FALSE),"")</f>
        <v>189</v>
      </c>
      <c r="H9" t="s" s="414">
        <f>IF(OR('Window &amp; Door DATA INPUT'!J15='Parameters'!$K$4,'Window &amp; Door DATA INPUT'!J15='Parameters'!$K$11),"No",IF('Window &amp; Door DATA INPUT'!K15="","",'Window &amp; Door DATA INPUT'!K15))</f>
        <v>138</v>
      </c>
      <c r="I9" t="s" s="414">
        <f>IF('Window &amp; Door DATA INPUT'!J15="","",'Window &amp; Door DATA INPUT'!J15)</f>
        <v>196</v>
      </c>
      <c r="J9" s="482">
        <f>IF('Window &amp; Door DATA INPUT'!L15='Parameters'!$O$5,'Window &amp; Door DATA INPUT'!O15,IF(B9=1,'Window &amp; Door DATA INPUT'!N15*'Window &amp; Door DATA INPUT'!M15,""))</f>
        <v>1.4014</v>
      </c>
      <c r="K9" t="s" s="414">
        <f>IF('Window &amp; Door DATA INPUT'!J15="","",VLOOKUP('Window &amp; Door DATA INPUT'!J15,'Parameters'!$K$4:$L$16,2,FALSE))</f>
        <v>427</v>
      </c>
      <c r="L9" s="483">
        <f>IF($H9="yes",IF($K9="Y",'Window &amp; Door DATA INPUT'!Q15,IF($K9="N",'Window &amp; Door DATA INPUT'!P15)),"")</f>
        <v>0.9399999999999999</v>
      </c>
      <c r="M9" s="483">
        <f>IF($H9="yes",IF($K9="Y",'Window &amp; Door DATA INPUT'!P15,IF($K9="N",'Window &amp; Door DATA INPUT'!Q15)),"")</f>
        <v>1.98</v>
      </c>
      <c r="N9" s="482">
        <f>IF(L9="","",L9*M9)</f>
        <v>1.8612</v>
      </c>
      <c r="O9" t="s" s="414">
        <f>IF(AND(B9=1,C9=0,H9="yes"),"A",IF(AND(C9=1,H9="yes",'Window &amp; Door DATA INPUT'!R15="no"),"B",IF(AND(C9=1,H9="yes",'Window &amp; Door DATA INPUT'!R15="yes",'Window &amp; Door DATA INPUT'!S15="yes"),"C",IF(AND(C9=1,H9="yes",'Window &amp; Door DATA INPUT'!R15="yes",'Window &amp; Door DATA INPUT'!S15="no"),"D",""))))</f>
        <v>230</v>
      </c>
      <c r="P9" t="s" s="414">
        <f>IF(AND(C9=1,H9="yes",OR(I9='Parameters'!$K$12,I9='Parameters'!$K$13,I9='Parameters'!$K$14)),"E",IF(AND(C9=1,H9="yes",NOT(OR(I9='Parameters'!$K$12,I9='Parameters'!$K$13,I9='Parameters'!$K$14))),"F",""))</f>
      </c>
      <c r="Q9" s="484">
        <f>IF(AND(B9=1,H9="yes"),VLOOKUP(I9,'Parameters'!$K$4:$M$16,3,FALSE),"")</f>
        <v>90</v>
      </c>
      <c r="R9" s="484">
        <f>IF(AND(OR(O9="A",O9="B",O9="d"),Q9="input"),'Window &amp; Door DATA INPUT'!AA15,IF(AND(O9="C",Q9="input"),'Window &amp; Door DATA INPUT'!W15,Q9))</f>
        <v>90</v>
      </c>
      <c r="S9" t="s" s="414">
        <f>IF('Window &amp; Door DATA INPUT'!X15="Yes",'Window &amp; Door DATA INPUT'!Y15/1000,IF(B9=1,"N/A",""))</f>
        <v>416</v>
      </c>
      <c r="T9" t="s" s="480">
        <f>IF(Q9="calc",IF(P9="yes",'Window &amp; Door DATA INPUT'!U15/1000,('Parameters'!$S$4-'Window &amp; Door DATA INPUT'!Z15+'Parameters'!$Q$4)/1000),"")</f>
      </c>
      <c r="U9" t="s" s="480">
        <f>IF(Q9="calc",IF(T9&gt;M9,M9,T9),"")</f>
      </c>
      <c r="V9" t="s" s="480">
        <f>IF(AND(S9&gt;0,S9&lt;U9),S9,U9)</f>
      </c>
      <c r="W9" s="485">
        <f>IF(R9="calc",DEGREES(ASIN(V9/M9)),R9)</f>
        <v>90</v>
      </c>
      <c r="X9" s="483">
        <f>IF(OR($H9="no",$B9=0),"",IF($I9='Parameters'!$K$15,$L9/($M9/2),$L9/$M9))</f>
        <v>0.474747474747475</v>
      </c>
      <c r="Y9" s="483">
        <f>IF(OR($H9="no",$B9=0),"",IF($X9&lt;0.5,'Parameters'!$X$4,IF($X9&lt;1,'Parameters'!$Y$4,IF($X9&lt;2,'Parameters'!$Z$4,'Parameters'!$AA$4))))</f>
        <v>0.0604762544204005</v>
      </c>
      <c r="Z9" s="483">
        <f>IF(OR($H9="no",$B9=0),"",IF($X9&lt;0.5,'Parameters'!$X$5,IF($X9&lt;1,'Parameters'!$Y$5,IF($X9&lt;2,'Parameters'!$Z$5,'Parameters'!$AA$5))))</f>
        <v>0.612341772151899</v>
      </c>
      <c r="AA9" s="483">
        <f>IF(OR($H9="no",$B9=0),"",IF($I9='Parameters'!$K$15,(2*($M9/2)*SIN(RADIANS($W9/2))),(2*$M9*SIN(RADIANS($W9/2)))))</f>
        <v>2.80014285349873</v>
      </c>
      <c r="AB9" s="483">
        <f>IF(OR($H9="no",$B9=0),"",$Z9*(1-EXP(-$Y9*$W9)))</f>
        <v>0.609692121822745</v>
      </c>
      <c r="AC9" s="483">
        <f>IF(OR($H9="no",$B9=0),"",IF($I9='Parameters'!$K$15,$AB9*$N9/2,$AB9*$N9))</f>
        <v>1.13475897713649</v>
      </c>
      <c r="AD9" s="486">
        <f>IF(OR($H9="no",$B9=0),"",IF($I9='Parameters'!$K$15,$AC9*2/'Parameters'!$AB$4,$AC9/'Parameters'!$AB$4))</f>
        <v>1.83025641473627</v>
      </c>
      <c r="AE9" t="s" s="487">
        <f>IF(AND(O9="B",Q9="calc"),V9,IF(AND(O9="C",Q9="calc"),'Window &amp; Door DATA INPUT'!T15/1000,""))</f>
      </c>
      <c r="AF9" t="s" s="414">
        <f>IF(AND(O9="B",Q9="input"),'Window &amp; Door DATA INPUT'!AA15,IF(AND(O9="C",Q9="input",P9="F"),'Window &amp; Door DATA INPUT'!V15,IF(AND(O9="C",P9="E"),0,IF(AND(O9="D"),0,IF(AND(B9=1,C9=0),"",(Q9))))))</f>
      </c>
      <c r="AG9" t="s" s="496">
        <f>IF(AF9="calc",DEGREES(ASIN(AE9/M9)),AF9)</f>
      </c>
      <c r="AH9" t="s" s="480">
        <f>IF(OR($H9="no",$C9=0),"",IF($I9='Parameters'!$K$15,$L9/($M9/2),$L9/$M9))</f>
      </c>
      <c r="AI9" t="s" s="480">
        <f>IF(OR($H9="no",$C9=0),"",IF($AH9&lt;0.5,'Parameters'!$X$4,IF($AH9&lt;1,'Parameters'!$Y$4,IF($AH9&lt;2,'Parameters'!$Z$4,'Parameters'!$AA$4))))</f>
      </c>
      <c r="AJ9" t="s" s="480">
        <f>IF(OR($H9="no",$C9=0),"",IF($AH9&lt;0.5,'Parameters'!$X$5,IF($AH9&lt;1,'Parameters'!$Y$5,IF($AH9&lt;2,'Parameters'!$Z$5,'Parameters'!$AA$5))))</f>
      </c>
      <c r="AK9" t="s" s="480">
        <f>IF(OR($H9="no",$C9=0),"",IF($I9='Parameters'!$K$15,(2*($M9/2)*SIN(RADIANS($AG9/2))),(2*$M9*SIN(RADIANS($AG9/2)))))</f>
      </c>
      <c r="AL9" t="s" s="480">
        <f>IF(OR($H9="no",$C9=0),"",$AJ9*(1-EXP(-$AI9*$AG9)))</f>
      </c>
      <c r="AM9" t="s" s="480">
        <f>IF(OR($H9="no",$C9=0),"",IF($I9='Parameters'!$K$15,$AL9*$N9/2,$AL9*$N9))</f>
      </c>
      <c r="AN9" t="s" s="497">
        <f>IF(OR($H9="no",$C9=0),"",IF($I9='Parameters'!$K$15,$AM9*2/'Parameters'!$AB$4,$AM9/'Parameters'!$AB$4))</f>
      </c>
      <c r="AO9" s="474"/>
      <c r="AP9" t="s" s="488">
        <f>'Parameters'!D9</f>
        <v>428</v>
      </c>
      <c r="AQ9" s="489">
        <f>IF(ISERROR(VLOOKUP($AP9,$D$4:$E$68,2,FALSE)),0,(VLOOKUP($AP9,$D$4:$E$68,2,FALSE)))</f>
        <v>0</v>
      </c>
      <c r="AR9" s="489">
        <f>_xlfn.SUMIFS($J$4:$J$68,$D$4:$D$68,AP9)</f>
        <v>0</v>
      </c>
      <c r="AS9" t="s" s="466">
        <f>IF(AQ9&gt;0,AR9/AQ9," ")</f>
        <v>421</v>
      </c>
      <c r="AT9" s="489">
        <f>_xlfn.SUMIFS($AD$4:$AD$68,$D$4:$D$68,AP9)</f>
        <v>0</v>
      </c>
      <c r="AU9" t="s" s="466">
        <f>IF(AR9=$BA$12,AS9,"")</f>
      </c>
      <c r="AV9" s="491"/>
      <c r="AW9" s="491"/>
      <c r="AX9" s="499"/>
      <c r="AY9" s="441"/>
      <c r="AZ9" t="s" s="502">
        <v>429</v>
      </c>
      <c r="BA9" s="503">
        <f>MAX(BA4:BA7)</f>
        <v>6.5184</v>
      </c>
      <c r="BB9" s="470"/>
      <c r="BC9" t="s" s="488">
        <v>430</v>
      </c>
      <c r="BD9" s="504">
        <f>BD13/BD12*100</f>
        <v>62.8678646555582</v>
      </c>
      <c r="BE9" s="468"/>
      <c r="BF9" s="495"/>
      <c r="BG9" s="495"/>
      <c r="BH9" s="495"/>
      <c r="BI9" s="495"/>
      <c r="BJ9" s="441"/>
      <c r="BK9" s="441"/>
      <c r="BL9" s="441"/>
    </row>
    <row r="10" ht="16" customHeight="1">
      <c r="A10" s="470"/>
      <c r="B10" s="479">
        <f>IF('Window &amp; Door DATA INPUT'!B16&gt;1,1,0)</f>
        <v>1</v>
      </c>
      <c r="C10" s="479">
        <f>IF(AND(B10=1,OR(D10='Parameters'!$D$17,D10='Parameters'!$D$18,D10='Parameters'!$D$19,D10='Parameters'!$D$20,D10='Parameters'!$D$21)),1,0)</f>
        <v>0</v>
      </c>
      <c r="D10" t="s" s="480">
        <f>IF('Window &amp; Door DATA INPUT'!B16="","",'Window &amp; Door DATA INPUT'!B16)</f>
        <v>197</v>
      </c>
      <c r="E10" s="481">
        <f>IF('Window &amp; Door DATA INPUT'!D16="","",'Window &amp; Door DATA INPUT'!D16)</f>
        <v>34.002</v>
      </c>
      <c r="F10" t="s" s="480">
        <f>IF(B10=1,'Window &amp; Door DATA INPUT'!H16&amp;'RESULTS'!$H$5,"")</f>
        <v>423</v>
      </c>
      <c r="G10" t="s" s="480">
        <f>IF(B10=1,VLOOKUP(F10,'Parameters'!$H$4:$I$20,2,FALSE),"")</f>
        <v>189</v>
      </c>
      <c r="H10" t="s" s="414">
        <f>IF(OR('Window &amp; Door DATA INPUT'!J16='Parameters'!$K$4,'Window &amp; Door DATA INPUT'!J16='Parameters'!$K$11),"No",IF('Window &amp; Door DATA INPUT'!K16="","",'Window &amp; Door DATA INPUT'!K16))</f>
        <v>199</v>
      </c>
      <c r="I10" t="s" s="414">
        <f>IF('Window &amp; Door DATA INPUT'!J16="","",'Window &amp; Door DATA INPUT'!J16)</f>
        <v>196</v>
      </c>
      <c r="J10" s="482">
        <f>IF('Window &amp; Door DATA INPUT'!L16='Parameters'!$O$5,'Window &amp; Door DATA INPUT'!O16,IF(B10=1,'Window &amp; Door DATA INPUT'!N16*'Window &amp; Door DATA INPUT'!M16,""))</f>
        <v>1.6942</v>
      </c>
      <c r="K10" t="s" s="414">
        <f>IF('Window &amp; Door DATA INPUT'!J16="","",VLOOKUP('Window &amp; Door DATA INPUT'!J16,'Parameters'!$K$4:$L$16,2,FALSE))</f>
        <v>427</v>
      </c>
      <c r="L10" t="s" s="480">
        <f>IF($H10="yes",IF($K10="Y",'Window &amp; Door DATA INPUT'!Q16,IF($K10="N",'Window &amp; Door DATA INPUT'!P16)),"")</f>
      </c>
      <c r="M10" t="s" s="480">
        <f>IF($H10="yes",IF($K10="Y",'Window &amp; Door DATA INPUT'!P16,IF($K10="N",'Window &amp; Door DATA INPUT'!Q16)),"")</f>
      </c>
      <c r="N10" t="s" s="480">
        <f>IF(L10="","",L10*M10)</f>
      </c>
      <c r="O10" t="s" s="414">
        <f>IF(AND(B10=1,C10=0,H10="yes"),"A",IF(AND(C10=1,H10="yes",'Window &amp; Door DATA INPUT'!R16="no"),"B",IF(AND(C10=1,H10="yes",'Window &amp; Door DATA INPUT'!R16="yes",'Window &amp; Door DATA INPUT'!S16="yes"),"C",IF(AND(C10=1,H10="yes",'Window &amp; Door DATA INPUT'!R16="yes",'Window &amp; Door DATA INPUT'!S16="no"),"D",""))))</f>
      </c>
      <c r="P10" t="s" s="414">
        <f>IF(AND(C10=1,H10="yes",OR(I10='Parameters'!$K$12,I10='Parameters'!$K$13,I10='Parameters'!$K$14)),"E",IF(AND(C10=1,H10="yes",NOT(OR(I10='Parameters'!$K$12,I10='Parameters'!$K$13,I10='Parameters'!$K$14))),"F",""))</f>
      </c>
      <c r="Q10" t="s" s="414">
        <f>IF(AND(B10=1,H10="yes"),VLOOKUP(I10,'Parameters'!$K$4:$M$16,3,FALSE),"")</f>
      </c>
      <c r="R10" t="s" s="414">
        <f>IF(AND(OR(O10="A",O10="B",O10="d"),Q10="input"),'Window &amp; Door DATA INPUT'!AA16,IF(AND(O10="C",Q10="input"),'Window &amp; Door DATA INPUT'!W16,Q10))</f>
      </c>
      <c r="S10" t="s" s="414">
        <f>IF('Window &amp; Door DATA INPUT'!X16="Yes",'Window &amp; Door DATA INPUT'!Y16/1000,IF(B10=1,"N/A",""))</f>
        <v>416</v>
      </c>
      <c r="T10" t="s" s="480">
        <f>IF(Q10="calc",IF(P10="yes",'Window &amp; Door DATA INPUT'!U16/1000,('Parameters'!$S$4-'Window &amp; Door DATA INPUT'!Z16+'Parameters'!$Q$4)/1000),"")</f>
      </c>
      <c r="U10" t="s" s="480">
        <f>IF(Q10="calc",IF(T10&gt;M10,M10,T10),"")</f>
      </c>
      <c r="V10" t="s" s="480">
        <f>IF(AND(S10&gt;0,S10&lt;U10),S10,U10)</f>
      </c>
      <c r="W10" t="s" s="496">
        <f>IF(R10="calc",DEGREES(ASIN(V10/M10)),R10)</f>
      </c>
      <c r="X10" t="s" s="480">
        <f>IF(OR($H10="no",$B10=0),"",IF($I10='Parameters'!$K$15,$L10/($M10/2),$L10/$M10))</f>
      </c>
      <c r="Y10" t="s" s="480">
        <f>IF(OR($H10="no",$B10=0),"",IF($X10&lt;0.5,'Parameters'!$X$4,IF($X10&lt;1,'Parameters'!$Y$4,IF($X10&lt;2,'Parameters'!$Z$4,'Parameters'!$AA$4))))</f>
      </c>
      <c r="Z10" t="s" s="480">
        <f>IF(OR($H10="no",$B10=0),"",IF($X10&lt;0.5,'Parameters'!$X$5,IF($X10&lt;1,'Parameters'!$Y$5,IF($X10&lt;2,'Parameters'!$Z$5,'Parameters'!$AA$5))))</f>
      </c>
      <c r="AA10" t="s" s="480">
        <f>IF(OR($H10="no",$B10=0),"",IF($I10='Parameters'!$K$15,(2*($M10/2)*SIN(RADIANS($W10/2))),(2*$M10*SIN(RADIANS($W10/2)))))</f>
      </c>
      <c r="AB10" t="s" s="480">
        <f>IF(OR($H10="no",$B10=0),"",$Z10*(1-EXP(-$Y10*$W10)))</f>
      </c>
      <c r="AC10" t="s" s="480">
        <f>IF(OR($H10="no",$B10=0),"",IF($I10='Parameters'!$K$15,$AB10*$N10/2,$AB10*$N10))</f>
      </c>
      <c r="AD10" t="s" s="497">
        <f>IF(OR($H10="no",$B10=0),"",IF($I10='Parameters'!$K$15,$AC10*2/'Parameters'!$AB$4,$AC10/'Parameters'!$AB$4))</f>
      </c>
      <c r="AE10" t="s" s="487">
        <f>IF(AND(O10="B",Q10="calc"),V10,IF(AND(O10="C",Q10="calc"),'Window &amp; Door DATA INPUT'!T16/1000,""))</f>
      </c>
      <c r="AF10" t="s" s="414">
        <f>IF(AND(O10="B",Q10="input"),'Window &amp; Door DATA INPUT'!AA16,IF(AND(O10="C",Q10="input",P10="F"),'Window &amp; Door DATA INPUT'!V16,IF(AND(O10="C",P10="E"),0,IF(AND(O10="D"),0,IF(AND(B10=1,C10=0),"",(Q10))))))</f>
      </c>
      <c r="AG10" t="s" s="496">
        <f>IF(AF10="calc",DEGREES(ASIN(AE10/M10)),AF10)</f>
      </c>
      <c r="AH10" t="s" s="480">
        <f>IF(OR($H10="no",$C10=0),"",IF($I10='Parameters'!$K$15,$L10/($M10/2),$L10/$M10))</f>
      </c>
      <c r="AI10" t="s" s="480">
        <f>IF(OR($H10="no",$C10=0),"",IF($AH10&lt;0.5,'Parameters'!$X$4,IF($AH10&lt;1,'Parameters'!$Y$4,IF($AH10&lt;2,'Parameters'!$Z$4,'Parameters'!$AA$4))))</f>
      </c>
      <c r="AJ10" t="s" s="480">
        <f>IF(OR($H10="no",$C10=0),"",IF($AH10&lt;0.5,'Parameters'!$X$5,IF($AH10&lt;1,'Parameters'!$Y$5,IF($AH10&lt;2,'Parameters'!$Z$5,'Parameters'!$AA$5))))</f>
      </c>
      <c r="AK10" t="s" s="480">
        <f>IF(OR($H10="no",$C10=0),"",IF($I10='Parameters'!$K$15,(2*($M10/2)*SIN(RADIANS($AG10/2))),(2*$M10*SIN(RADIANS($AG10/2)))))</f>
      </c>
      <c r="AL10" t="s" s="480">
        <f>IF(OR($H10="no",$C10=0),"",$AJ10*(1-EXP(-$AI10*$AG10)))</f>
      </c>
      <c r="AM10" t="s" s="480">
        <f>IF(OR($H10="no",$C10=0),"",IF($I10='Parameters'!$K$15,$AL10*$N10/2,$AL10*$N10))</f>
      </c>
      <c r="AN10" t="s" s="497">
        <f>IF(OR($H10="no",$C10=0),"",IF($I10='Parameters'!$K$15,$AM10*2/'Parameters'!$AB$4,$AM10/'Parameters'!$AB$4))</f>
      </c>
      <c r="AO10" s="474"/>
      <c r="AP10" t="s" s="488">
        <f>'Parameters'!D10</f>
        <v>197</v>
      </c>
      <c r="AQ10" s="489">
        <f>IF(ISERROR(VLOOKUP($AP10,$D$4:$E$68,2,FALSE)),0,(VLOOKUP($AP10,$D$4:$E$68,2,FALSE)))</f>
        <v>34.002</v>
      </c>
      <c r="AR10" s="489">
        <f>_xlfn.SUMIFS($J$4:$J$68,$D$4:$D$68,AP10)</f>
        <v>10.154</v>
      </c>
      <c r="AS10" s="490">
        <f>IF(AQ10&gt;0,AR10/AQ10," ")</f>
        <v>0.298629492382801</v>
      </c>
      <c r="AT10" s="489">
        <f>_xlfn.SUMIFS($AD$4:$AD$68,$D$4:$D$68,AP10)</f>
        <v>3.4103772930449</v>
      </c>
      <c r="AU10" s="490">
        <f>IF(AR10=$BA$12,AS10,"")</f>
        <v>0.298629492382801</v>
      </c>
      <c r="AV10" s="491"/>
      <c r="AW10" s="491"/>
      <c r="AX10" s="499"/>
      <c r="AY10" s="441"/>
      <c r="AZ10" t="s" s="502">
        <v>431</v>
      </c>
      <c r="BA10" s="505">
        <f>COUNTIF(BA4:BA7,BA9)</f>
        <v>1</v>
      </c>
      <c r="BB10" s="441"/>
      <c r="BC10" s="500"/>
      <c r="BD10" s="506"/>
      <c r="BE10" s="449"/>
      <c r="BF10" s="495"/>
      <c r="BG10" s="495"/>
      <c r="BH10" s="495"/>
      <c r="BI10" s="495"/>
      <c r="BJ10" s="441"/>
      <c r="BK10" s="441"/>
      <c r="BL10" s="441"/>
    </row>
    <row r="11" ht="17" customHeight="1">
      <c r="A11" s="470"/>
      <c r="B11" s="479">
        <f>IF('Window &amp; Door DATA INPUT'!B17&gt;1,1,0)</f>
        <v>1</v>
      </c>
      <c r="C11" s="479">
        <f>IF(AND(B11=1,OR(D11='Parameters'!$D$17,D11='Parameters'!$D$18,D11='Parameters'!$D$19,D11='Parameters'!$D$20,D11='Parameters'!$D$21)),1,0)</f>
        <v>0</v>
      </c>
      <c r="D11" t="s" s="480">
        <f>IF('Window &amp; Door DATA INPUT'!B17="","",'Window &amp; Door DATA INPUT'!B17)</f>
        <v>197</v>
      </c>
      <c r="E11" s="481">
        <f>IF('Window &amp; Door DATA INPUT'!D17="","",'Window &amp; Door DATA INPUT'!D17)</f>
        <v>34.002</v>
      </c>
      <c r="F11" t="s" s="480">
        <f>IF(B11=1,'Window &amp; Door DATA INPUT'!H17&amp;'RESULTS'!$H$5,"")</f>
        <v>423</v>
      </c>
      <c r="G11" t="s" s="480">
        <f>IF(B11=1,VLOOKUP(F11,'Parameters'!$H$4:$I$20,2,FALSE),"")</f>
        <v>189</v>
      </c>
      <c r="H11" t="s" s="414">
        <f>IF(OR('Window &amp; Door DATA INPUT'!J17='Parameters'!$K$4,'Window &amp; Door DATA INPUT'!J17='Parameters'!$K$11),"No",IF('Window &amp; Door DATA INPUT'!K17="","",'Window &amp; Door DATA INPUT'!K17))</f>
        <v>138</v>
      </c>
      <c r="I11" t="s" s="414">
        <f>IF('Window &amp; Door DATA INPUT'!J17="","",'Window &amp; Door DATA INPUT'!J17)</f>
        <v>179</v>
      </c>
      <c r="J11" s="482">
        <f>IF('Window &amp; Door DATA INPUT'!L17='Parameters'!$O$5,'Window &amp; Door DATA INPUT'!O17,IF(B11=1,'Window &amp; Door DATA INPUT'!N17*'Window &amp; Door DATA INPUT'!M17,""))</f>
        <v>1.575</v>
      </c>
      <c r="K11" t="s" s="414">
        <f>IF('Window &amp; Door DATA INPUT'!J17="","",VLOOKUP('Window &amp; Door DATA INPUT'!J17,'Parameters'!$K$4:$L$16,2,FALSE))</f>
        <v>413</v>
      </c>
      <c r="L11" s="483">
        <f>IF($H11="yes",IF($K11="Y",'Window &amp; Door DATA INPUT'!Q17,IF($K11="N",'Window &amp; Door DATA INPUT'!P17)),"")</f>
        <v>1.32</v>
      </c>
      <c r="M11" s="483">
        <f>IF($H11="yes",IF($K11="Y",'Window &amp; Door DATA INPUT'!P17,IF($K11="N",'Window &amp; Door DATA INPUT'!Q17)),"")</f>
        <v>1.34</v>
      </c>
      <c r="N11" s="482">
        <f>IF(L11="","",L11*M11)</f>
        <v>1.7688</v>
      </c>
      <c r="O11" t="s" s="414">
        <f>IF(AND(B11=1,C11=0,H11="yes"),"A",IF(AND(C11=1,H11="yes",'Window &amp; Door DATA INPUT'!R17="no"),"B",IF(AND(C11=1,H11="yes",'Window &amp; Door DATA INPUT'!R17="yes",'Window &amp; Door DATA INPUT'!S17="yes"),"C",IF(AND(C11=1,H11="yes",'Window &amp; Door DATA INPUT'!R17="yes",'Window &amp; Door DATA INPUT'!S17="no"),"D",""))))</f>
        <v>230</v>
      </c>
      <c r="P11" t="s" s="414">
        <f>IF(AND(C11=1,H11="yes",OR(I11='Parameters'!$K$12,I11='Parameters'!$K$13,I11='Parameters'!$K$14)),"E",IF(AND(C11=1,H11="yes",NOT(OR(I11='Parameters'!$K$12,I11='Parameters'!$K$13,I11='Parameters'!$K$14))),"F",""))</f>
      </c>
      <c r="Q11" t="s" s="414">
        <f>IF(AND(B11=1,H11="yes"),VLOOKUP(I11,'Parameters'!$K$4:$M$16,3,FALSE),"")</f>
        <v>415</v>
      </c>
      <c r="R11" s="484">
        <f>IF(AND(OR(O11="A",O11="B",O11="d"),Q11="input"),'Window &amp; Door DATA INPUT'!AA17,IF(AND(O11="C",Q11="input"),'Window &amp; Door DATA INPUT'!W17,Q11))</f>
        <v>90</v>
      </c>
      <c r="S11" t="s" s="414">
        <f>IF('Window &amp; Door DATA INPUT'!X17="Yes",'Window &amp; Door DATA INPUT'!Y17/1000,IF(B11=1,"N/A",""))</f>
        <v>416</v>
      </c>
      <c r="T11" t="s" s="480">
        <f>IF(Q11="calc",IF(P11="yes",'Window &amp; Door DATA INPUT'!U17/1000,('Parameters'!$S$4-'Window &amp; Door DATA INPUT'!Z17+'Parameters'!$Q$4)/1000),"")</f>
      </c>
      <c r="U11" t="s" s="480">
        <f>IF(Q11="calc",IF(T11&gt;M11,M11,T11),"")</f>
      </c>
      <c r="V11" t="s" s="480">
        <f>IF(AND(S11&gt;0,S11&lt;U11),S11,U11)</f>
      </c>
      <c r="W11" s="485">
        <f>IF(R11="calc",DEGREES(ASIN(V11/M11)),R11)</f>
        <v>90</v>
      </c>
      <c r="X11" s="483">
        <f>IF(OR($H11="no",$B11=0),"",IF($I11='Parameters'!$K$15,$L11/($M11/2),$L11/$M11))</f>
        <v>0.985074626865672</v>
      </c>
      <c r="Y11" s="483">
        <f>IF(OR($H11="no",$B11=0),"",IF($X11&lt;0.5,'Parameters'!$X$4,IF($X11&lt;1,'Parameters'!$Y$4,IF($X11&lt;2,'Parameters'!$Z$4,'Parameters'!$AA$4))))</f>
        <v>0.0478352593239432</v>
      </c>
      <c r="Z11" s="483">
        <f>IF(OR($H11="no",$B11=0),"",IF($X11&lt;0.5,'Parameters'!$X$5,IF($X11&lt;1,'Parameters'!$Y$5,IF($X11&lt;2,'Parameters'!$Z$5,'Parameters'!$AA$5))))</f>
        <v>0.588607594936709</v>
      </c>
      <c r="AA11" s="483">
        <f>IF(OR($H11="no",$B11=0),"",IF($I11='Parameters'!$K$15,(2*($M11/2)*SIN(RADIANS($W11/2))),(2*$M11*SIN(RADIANS($W11/2)))))</f>
        <v>1.89504617357995</v>
      </c>
      <c r="AB11" s="483">
        <f>IF(OR($H11="no",$B11=0),"",$Z11*(1-EXP(-$Y11*$W11)))</f>
        <v>0.580662248527437</v>
      </c>
      <c r="AC11" s="483">
        <f>IF(OR($H11="no",$B11=0),"",IF($I11='Parameters'!$K$15,$AB11*$N11/2,$AB11*$N11))</f>
        <v>1.02707538519533</v>
      </c>
      <c r="AD11" s="486">
        <f>IF(OR($H11="no",$B11=0),"",IF($I11='Parameters'!$K$15,$AC11*2/'Parameters'!$AB$4,$AC11/'Parameters'!$AB$4))</f>
        <v>1.65657320192795</v>
      </c>
      <c r="AE11" t="s" s="487">
        <f>IF(AND(O11="B",Q11="calc"),V11,IF(AND(O11="C",Q11="calc"),'Window &amp; Door DATA INPUT'!T17/1000,""))</f>
      </c>
      <c r="AF11" t="s" s="414">
        <f>IF(AND(O11="B",Q11="input"),'Window &amp; Door DATA INPUT'!AA17,IF(AND(O11="C",Q11="input",P11="F"),'Window &amp; Door DATA INPUT'!V17,IF(AND(O11="C",P11="E"),0,IF(AND(O11="D"),0,IF(AND(B11=1,C11=0),"",(Q11))))))</f>
      </c>
      <c r="AG11" t="s" s="496">
        <f>IF(AF11="calc",DEGREES(ASIN(AE11/M11)),AF11)</f>
      </c>
      <c r="AH11" t="s" s="480">
        <f>IF(OR($H11="no",$C11=0),"",IF($I11='Parameters'!$K$15,$L11/($M11/2),$L11/$M11))</f>
      </c>
      <c r="AI11" t="s" s="480">
        <f>IF(OR($H11="no",$C11=0),"",IF($AH11&lt;0.5,'Parameters'!$X$4,IF($AH11&lt;1,'Parameters'!$Y$4,IF($AH11&lt;2,'Parameters'!$Z$4,'Parameters'!$AA$4))))</f>
      </c>
      <c r="AJ11" t="s" s="480">
        <f>IF(OR($H11="no",$C11=0),"",IF($AH11&lt;0.5,'Parameters'!$X$5,IF($AH11&lt;1,'Parameters'!$Y$5,IF($AH11&lt;2,'Parameters'!$Z$5,'Parameters'!$AA$5))))</f>
      </c>
      <c r="AK11" t="s" s="480">
        <f>IF(OR($H11="no",$C11=0),"",IF($I11='Parameters'!$K$15,(2*($M11/2)*SIN(RADIANS($AG11/2))),(2*$M11*SIN(RADIANS($AG11/2)))))</f>
      </c>
      <c r="AL11" t="s" s="480">
        <f>IF(OR($H11="no",$C11=0),"",$AJ11*(1-EXP(-$AI11*$AG11)))</f>
      </c>
      <c r="AM11" t="s" s="480">
        <f>IF(OR($H11="no",$C11=0),"",IF($I11='Parameters'!$K$15,$AL11*$N11/2,$AL11*$N11))</f>
      </c>
      <c r="AN11" t="s" s="497">
        <f>IF(OR($H11="no",$C11=0),"",IF($I11='Parameters'!$K$15,$AM11*2/'Parameters'!$AB$4,$AM11/'Parameters'!$AB$4))</f>
      </c>
      <c r="AO11" s="474"/>
      <c r="AP11" t="s" s="488">
        <f>'Parameters'!D11</f>
        <v>432</v>
      </c>
      <c r="AQ11" s="489">
        <f>IF(ISERROR(VLOOKUP($AP11,$D$4:$E$68,2,FALSE)),0,(VLOOKUP($AP11,$D$4:$E$68,2,FALSE)))</f>
        <v>0</v>
      </c>
      <c r="AR11" s="489">
        <f>_xlfn.SUMIFS($J$4:$J$68,$D$4:$D$68,AP11)</f>
        <v>0</v>
      </c>
      <c r="AS11" t="s" s="466">
        <f>IF(AQ11&gt;0,AR11/AQ11," ")</f>
        <v>421</v>
      </c>
      <c r="AT11" s="489">
        <f>_xlfn.SUMIFS($AD$4:$AD$68,$D$4:$D$68,AP11)</f>
        <v>0</v>
      </c>
      <c r="AU11" t="s" s="466">
        <f>IF(AR11=$BA$12,AS11,"")</f>
      </c>
      <c r="AV11" s="491"/>
      <c r="AW11" s="491"/>
      <c r="AX11" s="499"/>
      <c r="AY11" s="441"/>
      <c r="AZ11" s="441"/>
      <c r="BA11" s="441"/>
      <c r="BB11" s="441"/>
      <c r="BC11" s="465"/>
      <c r="BD11" t="s" s="466">
        <v>307</v>
      </c>
      <c r="BE11" t="s" s="466">
        <v>433</v>
      </c>
      <c r="BF11" s="507"/>
      <c r="BG11" s="495"/>
      <c r="BH11" s="495"/>
      <c r="BI11" s="495"/>
      <c r="BJ11" s="441"/>
      <c r="BK11" s="441"/>
      <c r="BL11" s="441"/>
    </row>
    <row r="12" ht="16" customHeight="1">
      <c r="A12" s="470"/>
      <c r="B12" s="479">
        <f>IF('Window &amp; Door DATA INPUT'!B18&gt;1,1,0)</f>
        <v>1</v>
      </c>
      <c r="C12" s="479">
        <f>IF(AND(B12=1,OR(D12='Parameters'!$D$17,D12='Parameters'!$D$18,D12='Parameters'!$D$19,D12='Parameters'!$D$20,D12='Parameters'!$D$21)),1,0)</f>
        <v>0</v>
      </c>
      <c r="D12" t="s" s="480">
        <f>IF('Window &amp; Door DATA INPUT'!B18="","",'Window &amp; Door DATA INPUT'!B18)</f>
        <v>197</v>
      </c>
      <c r="E12" s="481">
        <f>IF('Window &amp; Door DATA INPUT'!D18="","",'Window &amp; Door DATA INPUT'!D18)</f>
        <v>34.002</v>
      </c>
      <c r="F12" t="s" s="480">
        <f>IF(B12=1,'Window &amp; Door DATA INPUT'!H18&amp;'RESULTS'!$H$5,"")</f>
        <v>434</v>
      </c>
      <c r="G12" t="s" s="480">
        <f>IF(B12=1,VLOOKUP(F12,'Parameters'!$H$4:$I$20,2,FALSE),"")</f>
        <v>203</v>
      </c>
      <c r="H12" t="s" s="480">
        <f>IF(OR('Window &amp; Door DATA INPUT'!J18='Parameters'!$K$4,'Window &amp; Door DATA INPUT'!J18='Parameters'!$K$11),"No",IF('Window &amp; Door DATA INPUT'!K18="","",'Window &amp; Door DATA INPUT'!K18))</f>
        <v>199</v>
      </c>
      <c r="I12" t="s" s="414">
        <f>IF('Window &amp; Door DATA INPUT'!J18="","",'Window &amp; Door DATA INPUT'!J18)</f>
        <v>183</v>
      </c>
      <c r="J12" s="482">
        <f>IF('Window &amp; Door DATA INPUT'!L18='Parameters'!$O$5,'Window &amp; Door DATA INPUT'!O18,IF(B12=1,'Window &amp; Door DATA INPUT'!N18*'Window &amp; Door DATA INPUT'!M18,""))</f>
        <v>1.6328</v>
      </c>
      <c r="K12" t="s" s="414">
        <f>IF('Window &amp; Door DATA INPUT'!J18="","",VLOOKUP('Window &amp; Door DATA INPUT'!J18,'Parameters'!$K$4:$L$16,2,FALSE))</f>
        <v>416</v>
      </c>
      <c r="L12" t="s" s="480">
        <f>IF($H12="yes",IF($K12="Y",'Window &amp; Door DATA INPUT'!Q18,IF($K12="N",'Window &amp; Door DATA INPUT'!P18)),"")</f>
      </c>
      <c r="M12" t="s" s="480">
        <f>IF($H12="yes",IF($K12="Y",'Window &amp; Door DATA INPUT'!P18,IF($K12="N",'Window &amp; Door DATA INPUT'!Q18)),"")</f>
      </c>
      <c r="N12" t="s" s="480">
        <f>IF(L12="","",L12*M12)</f>
      </c>
      <c r="O12" t="s" s="414">
        <f>IF(AND(B12=1,C12=0,H12="yes"),"A",IF(AND(C12=1,H12="yes",'Window &amp; Door DATA INPUT'!R18="no"),"B",IF(AND(C12=1,H12="yes",'Window &amp; Door DATA INPUT'!R18="yes",'Window &amp; Door DATA INPUT'!S18="yes"),"C",IF(AND(C12=1,H12="yes",'Window &amp; Door DATA INPUT'!R18="yes",'Window &amp; Door DATA INPUT'!S18="no"),"D",""))))</f>
      </c>
      <c r="P12" t="s" s="414">
        <f>IF(AND(C12=1,H12="yes",OR(I12='Parameters'!$K$12,I12='Parameters'!$K$13,I12='Parameters'!$K$14)),"E",IF(AND(C12=1,H12="yes",NOT(OR(I12='Parameters'!$K$12,I12='Parameters'!$K$13,I12='Parameters'!$K$14))),"F",""))</f>
      </c>
      <c r="Q12" t="s" s="414">
        <f>IF(AND(B12=1,H12="yes"),VLOOKUP(I12,'Parameters'!$K$4:$M$16,3,FALSE),"")</f>
      </c>
      <c r="R12" t="s" s="414">
        <f>IF(AND(OR(O12="A",O12="B",O12="d"),Q12="input"),'Window &amp; Door DATA INPUT'!AA18,IF(AND(O12="C",Q12="input"),'Window &amp; Door DATA INPUT'!W18,Q12))</f>
      </c>
      <c r="S12" t="s" s="414">
        <f>IF('Window &amp; Door DATA INPUT'!X18="Yes",'Window &amp; Door DATA INPUT'!Y18/1000,IF(B12=1,"N/A",""))</f>
        <v>416</v>
      </c>
      <c r="T12" t="s" s="480">
        <f>IF(Q12="calc",IF(P12="yes",'Window &amp; Door DATA INPUT'!U18/1000,('Parameters'!$S$4-'Window &amp; Door DATA INPUT'!Z18+'Parameters'!$Q$4)/1000),"")</f>
      </c>
      <c r="U12" t="s" s="480">
        <f>IF(Q12="calc",IF(T12&gt;M12,M12,T12),"")</f>
      </c>
      <c r="V12" t="s" s="480">
        <f>IF(AND(S12&gt;0,S12&lt;U12),S12,U12)</f>
      </c>
      <c r="W12" t="s" s="496">
        <f>IF(R12="calc",DEGREES(ASIN(V12/M12)),R12)</f>
      </c>
      <c r="X12" t="s" s="480">
        <f>IF(OR($H12="no",$B12=0),"",IF($I12='Parameters'!$K$15,$L12/($M12/2),$L12/$M12))</f>
      </c>
      <c r="Y12" t="s" s="480">
        <f>IF(OR($H12="no",$B12=0),"",IF($X12&lt;0.5,'Parameters'!$X$4,IF($X12&lt;1,'Parameters'!$Y$4,IF($X12&lt;2,'Parameters'!$Z$4,'Parameters'!$AA$4))))</f>
      </c>
      <c r="Z12" t="s" s="480">
        <f>IF(OR($H12="no",$B12=0),"",IF($X12&lt;0.5,'Parameters'!$X$5,IF($X12&lt;1,'Parameters'!$Y$5,IF($X12&lt;2,'Parameters'!$Z$5,'Parameters'!$AA$5))))</f>
      </c>
      <c r="AA12" t="s" s="480">
        <f>IF(OR($H12="no",$B12=0),"",IF($I12='Parameters'!$K$15,(2*($M12/2)*SIN(RADIANS($W12/2))),(2*$M12*SIN(RADIANS($W12/2)))))</f>
      </c>
      <c r="AB12" t="s" s="480">
        <f>IF(OR($H12="no",$B12=0),"",$Z12*(1-EXP(-$Y12*$W12)))</f>
      </c>
      <c r="AC12" t="s" s="480">
        <f>IF(OR($H12="no",$B12=0),"",IF($I12='Parameters'!$K$15,$AB12*$N12/2,$AB12*$N12))</f>
      </c>
      <c r="AD12" t="s" s="497">
        <f>IF(OR($H12="no",$B12=0),"",IF($I12='Parameters'!$K$15,$AC12*2/'Parameters'!$AB$4,$AC12/'Parameters'!$AB$4))</f>
      </c>
      <c r="AE12" t="s" s="487">
        <f>IF(AND(O12="B",Q12="calc"),V12,IF(AND(O12="C",Q12="calc"),'Window &amp; Door DATA INPUT'!T18/1000,""))</f>
      </c>
      <c r="AF12" t="s" s="414">
        <f>IF(AND(O12="B",Q12="input"),'Window &amp; Door DATA INPUT'!AA18,IF(AND(O12="C",Q12="input",P12="F"),'Window &amp; Door DATA INPUT'!V18,IF(AND(O12="C",P12="E"),0,IF(AND(O12="D"),0,IF(AND(B12=1,C12=0),"",(Q12))))))</f>
      </c>
      <c r="AG12" t="s" s="496">
        <f>IF(AF12="calc",DEGREES(ASIN(AE12/M12)),AF12)</f>
      </c>
      <c r="AH12" t="s" s="480">
        <f>IF(OR($H12="no",$C12=0),"",IF($I12='Parameters'!$K$15,$L12/($M12/2),$L12/$M12))</f>
      </c>
      <c r="AI12" t="s" s="480">
        <f>IF(OR($H12="no",$C12=0),"",IF($AH12&lt;0.5,'Parameters'!$X$4,IF($AH12&lt;1,'Parameters'!$Y$4,IF($AH12&lt;2,'Parameters'!$Z$4,'Parameters'!$AA$4))))</f>
      </c>
      <c r="AJ12" t="s" s="480">
        <f>IF(OR($H12="no",$C12=0),"",IF($AH12&lt;0.5,'Parameters'!$X$5,IF($AH12&lt;1,'Parameters'!$Y$5,IF($AH12&lt;2,'Parameters'!$Z$5,'Parameters'!$AA$5))))</f>
      </c>
      <c r="AK12" t="s" s="480">
        <f>IF(OR($H12="no",$C12=0),"",IF($I12='Parameters'!$K$15,(2*($M12/2)*SIN(RADIANS($AG12/2))),(2*$M12*SIN(RADIANS($AG12/2)))))</f>
      </c>
      <c r="AL12" t="s" s="480">
        <f>IF(OR($H12="no",$C12=0),"",$AJ12*(1-EXP(-$AI12*$AG12)))</f>
      </c>
      <c r="AM12" t="s" s="480">
        <f>IF(OR($H12="no",$C12=0),"",IF($I12='Parameters'!$K$15,$AL12*$N12/2,$AL12*$N12))</f>
      </c>
      <c r="AN12" t="s" s="497">
        <f>IF(OR($H12="no",$C12=0),"",IF($I12='Parameters'!$K$15,$AM12*2/'Parameters'!$AB$4,$AM12/'Parameters'!$AB$4))</f>
      </c>
      <c r="AO12" s="474"/>
      <c r="AP12" t="s" s="488">
        <f>'Parameters'!D12</f>
        <v>435</v>
      </c>
      <c r="AQ12" s="489">
        <f>IF(ISERROR(VLOOKUP($AP12,$D$4:$E$68,2,FALSE)),0,(VLOOKUP($AP12,$D$4:$E$68,2,FALSE)))</f>
        <v>0</v>
      </c>
      <c r="AR12" s="489">
        <f>_xlfn.SUMIFS($J$4:$J$68,$D$4:$D$68,AP12)</f>
        <v>0</v>
      </c>
      <c r="AS12" t="s" s="466">
        <f>IF(AQ12&gt;0,AR12/AQ12," ")</f>
        <v>421</v>
      </c>
      <c r="AT12" s="489">
        <f>_xlfn.SUMIFS($AD$4:$AD$68,$D$4:$D$68,AP12)</f>
        <v>0</v>
      </c>
      <c r="AU12" t="s" s="466">
        <f>IF(AR12=$BA$12,AS12,"")</f>
      </c>
      <c r="AV12" s="491"/>
      <c r="AW12" s="491"/>
      <c r="AX12" s="499"/>
      <c r="AY12" s="441"/>
      <c r="AZ12" t="s" s="502">
        <v>436</v>
      </c>
      <c r="BA12" s="503">
        <f>MAX(AR4:AR28)</f>
        <v>10.154</v>
      </c>
      <c r="BB12" s="470"/>
      <c r="BC12" t="s" s="488">
        <v>437</v>
      </c>
      <c r="BD12" s="501">
        <f>AR31</f>
        <v>19.895</v>
      </c>
      <c r="BE12" s="504">
        <f>AS31*100</f>
        <v>14.737037037037</v>
      </c>
      <c r="BF12" s="507"/>
      <c r="BG12" s="495"/>
      <c r="BH12" s="495"/>
      <c r="BI12" s="495"/>
      <c r="BJ12" s="441"/>
      <c r="BK12" s="441"/>
      <c r="BL12" s="441"/>
    </row>
    <row r="13" ht="16" customHeight="1">
      <c r="A13" s="470"/>
      <c r="B13" s="479">
        <f>IF('Window &amp; Door DATA INPUT'!B19&gt;1,1,0)</f>
        <v>1</v>
      </c>
      <c r="C13" s="479">
        <f>IF(AND(B13=1,OR(D13='Parameters'!$D$17,D13='Parameters'!$D$18,D13='Parameters'!$D$19,D13='Parameters'!$D$20,D13='Parameters'!$D$21)),1,0)</f>
        <v>0</v>
      </c>
      <c r="D13" t="s" s="480">
        <f>IF('Window &amp; Door DATA INPUT'!B19="","",'Window &amp; Door DATA INPUT'!B19)</f>
        <v>197</v>
      </c>
      <c r="E13" s="481">
        <f>IF('Window &amp; Door DATA INPUT'!D19="","",'Window &amp; Door DATA INPUT'!D19)</f>
        <v>34.002</v>
      </c>
      <c r="F13" t="s" s="480">
        <f>IF(B13=1,'Window &amp; Door DATA INPUT'!H19&amp;'RESULTS'!$H$5,"")</f>
        <v>434</v>
      </c>
      <c r="G13" t="s" s="480">
        <f>IF(B13=1,VLOOKUP(F13,'Parameters'!$H$4:$I$20,2,FALSE),"")</f>
        <v>203</v>
      </c>
      <c r="H13" t="s" s="480">
        <f>IF(OR('Window &amp; Door DATA INPUT'!J19='Parameters'!$K$4,'Window &amp; Door DATA INPUT'!J19='Parameters'!$K$11),"No",IF('Window &amp; Door DATA INPUT'!K19="","",'Window &amp; Door DATA INPUT'!K19))</f>
        <v>199</v>
      </c>
      <c r="I13" t="s" s="414">
        <f>IF('Window &amp; Door DATA INPUT'!J19="","",'Window &amp; Door DATA INPUT'!J19)</f>
        <v>183</v>
      </c>
      <c r="J13" s="482">
        <f>IF('Window &amp; Door DATA INPUT'!L19='Parameters'!$O$5,'Window &amp; Door DATA INPUT'!O19,IF(B13=1,'Window &amp; Door DATA INPUT'!N19*'Window &amp; Door DATA INPUT'!M19,""))</f>
        <v>1.6328</v>
      </c>
      <c r="K13" t="s" s="414">
        <f>IF('Window &amp; Door DATA INPUT'!J19="","",VLOOKUP('Window &amp; Door DATA INPUT'!J19,'Parameters'!$K$4:$L$16,2,FALSE))</f>
        <v>416</v>
      </c>
      <c r="L13" t="s" s="480">
        <f>IF($H13="yes",IF($K13="Y",'Window &amp; Door DATA INPUT'!Q19,IF($K13="N",'Window &amp; Door DATA INPUT'!P19)),"")</f>
      </c>
      <c r="M13" t="s" s="480">
        <f>IF($H13="yes",IF($K13="Y",'Window &amp; Door DATA INPUT'!P19,IF($K13="N",'Window &amp; Door DATA INPUT'!Q19)),"")</f>
      </c>
      <c r="N13" t="s" s="480">
        <f>IF(L13="","",L13*M13)</f>
      </c>
      <c r="O13" t="s" s="414">
        <f>IF(AND(B13=1,C13=0,H13="yes"),"A",IF(AND(C13=1,H13="yes",'Window &amp; Door DATA INPUT'!R19="no"),"B",IF(AND(C13=1,H13="yes",'Window &amp; Door DATA INPUT'!R19="yes",'Window &amp; Door DATA INPUT'!S19="yes"),"C",IF(AND(C13=1,H13="yes",'Window &amp; Door DATA INPUT'!R19="yes",'Window &amp; Door DATA INPUT'!S19="no"),"D",""))))</f>
      </c>
      <c r="P13" t="s" s="414">
        <f>IF(AND(C13=1,H13="yes",OR(I13='Parameters'!$K$12,I13='Parameters'!$K$13,I13='Parameters'!$K$14)),"E",IF(AND(C13=1,H13="yes",NOT(OR(I13='Parameters'!$K$12,I13='Parameters'!$K$13,I13='Parameters'!$K$14))),"F",""))</f>
      </c>
      <c r="Q13" t="s" s="414">
        <f>IF(AND(B13=1,H13="yes"),VLOOKUP(I13,'Parameters'!$K$4:$M$16,3,FALSE),"")</f>
      </c>
      <c r="R13" t="s" s="414">
        <f>IF(AND(OR(O13="A",O13="B",O13="d"),Q13="input"),'Window &amp; Door DATA INPUT'!AA19,IF(AND(O13="C",Q13="input"),'Window &amp; Door DATA INPUT'!W19,Q13))</f>
      </c>
      <c r="S13" t="s" s="414">
        <f>IF('Window &amp; Door DATA INPUT'!X19="Yes",'Window &amp; Door DATA INPUT'!Y19/1000,IF(B13=1,"N/A",""))</f>
        <v>416</v>
      </c>
      <c r="T13" t="s" s="480">
        <f>IF(Q13="calc",IF(P13="yes",'Window &amp; Door DATA INPUT'!U19/1000,('Parameters'!$S$4-'Window &amp; Door DATA INPUT'!Z19+'Parameters'!$Q$4)/1000),"")</f>
      </c>
      <c r="U13" t="s" s="480">
        <f>IF(Q13="calc",IF(T13&gt;M13,M13,T13),"")</f>
      </c>
      <c r="V13" t="s" s="480">
        <f>IF(AND(S13&gt;0,S13&lt;U13),S13,U13)</f>
      </c>
      <c r="W13" t="s" s="496">
        <f>IF(R13="calc",DEGREES(ASIN(V13/M13)),R13)</f>
      </c>
      <c r="X13" t="s" s="480">
        <f>IF(OR($H13="no",$B13=0),"",IF($I13='Parameters'!$K$15,$L13/($M13/2),$L13/$M13))</f>
      </c>
      <c r="Y13" t="s" s="480">
        <f>IF(OR($H13="no",$B13=0),"",IF($X13&lt;0.5,'Parameters'!$X$4,IF($X13&lt;1,'Parameters'!$Y$4,IF($X13&lt;2,'Parameters'!$Z$4,'Parameters'!$AA$4))))</f>
      </c>
      <c r="Z13" t="s" s="480">
        <f>IF(OR($H13="no",$B13=0),"",IF($X13&lt;0.5,'Parameters'!$X$5,IF($X13&lt;1,'Parameters'!$Y$5,IF($X13&lt;2,'Parameters'!$Z$5,'Parameters'!$AA$5))))</f>
      </c>
      <c r="AA13" t="s" s="480">
        <f>IF(OR($H13="no",$B13=0),"",IF($I13='Parameters'!$K$15,(2*($M13/2)*SIN(RADIANS($W13/2))),(2*$M13*SIN(RADIANS($W13/2)))))</f>
      </c>
      <c r="AB13" t="s" s="480">
        <f>IF(OR($H13="no",$B13=0),"",$Z13*(1-EXP(-$Y13*$W13)))</f>
      </c>
      <c r="AC13" t="s" s="480">
        <f>IF(OR($H13="no",$B13=0),"",IF($I13='Parameters'!$K$15,$AB13*$N13/2,$AB13*$N13))</f>
      </c>
      <c r="AD13" t="s" s="497">
        <f>IF(OR($H13="no",$B13=0),"",IF($I13='Parameters'!$K$15,$AC13*2/'Parameters'!$AB$4,$AC13/'Parameters'!$AB$4))</f>
      </c>
      <c r="AE13" t="s" s="487">
        <f>IF(AND(O13="B",Q13="calc"),V13,IF(AND(O13="C",Q13="calc"),'Window &amp; Door DATA INPUT'!T19/1000,""))</f>
      </c>
      <c r="AF13" t="s" s="414">
        <f>IF(AND(O13="B",Q13="input"),'Window &amp; Door DATA INPUT'!AA19,IF(AND(O13="C",Q13="input",P13="F"),'Window &amp; Door DATA INPUT'!V19,IF(AND(O13="C",P13="E"),0,IF(AND(O13="D"),0,IF(AND(B13=1,C13=0),"",(Q13))))))</f>
      </c>
      <c r="AG13" t="s" s="496">
        <f>IF(AF13="calc",DEGREES(ASIN(AE13/M13)),AF13)</f>
      </c>
      <c r="AH13" t="s" s="480">
        <f>IF(OR($H13="no",$C13=0),"",IF($I13='Parameters'!$K$15,$L13/($M13/2),$L13/$M13))</f>
      </c>
      <c r="AI13" t="s" s="480">
        <f>IF(OR($H13="no",$C13=0),"",IF($AH13&lt;0.5,'Parameters'!$X$4,IF($AH13&lt;1,'Parameters'!$Y$4,IF($AH13&lt;2,'Parameters'!$Z$4,'Parameters'!$AA$4))))</f>
      </c>
      <c r="AJ13" t="s" s="480">
        <f>IF(OR($H13="no",$C13=0),"",IF($AH13&lt;0.5,'Parameters'!$X$5,IF($AH13&lt;1,'Parameters'!$Y$5,IF($AH13&lt;2,'Parameters'!$Z$5,'Parameters'!$AA$5))))</f>
      </c>
      <c r="AK13" t="s" s="480">
        <f>IF(OR($H13="no",$C13=0),"",IF($I13='Parameters'!$K$15,(2*($M13/2)*SIN(RADIANS($AG13/2))),(2*$M13*SIN(RADIANS($AG13/2)))))</f>
      </c>
      <c r="AL13" t="s" s="480">
        <f>IF(OR($H13="no",$C13=0),"",$AJ13*(1-EXP(-$AI13*$AG13)))</f>
      </c>
      <c r="AM13" t="s" s="480">
        <f>IF(OR($H13="no",$C13=0),"",IF($I13='Parameters'!$K$15,$AL13*$N13/2,$AL13*$N13))</f>
      </c>
      <c r="AN13" t="s" s="497">
        <f>IF(OR($H13="no",$C13=0),"",IF($I13='Parameters'!$K$15,$AM13*2/'Parameters'!$AB$4,$AM13/'Parameters'!$AB$4))</f>
      </c>
      <c r="AO13" s="474"/>
      <c r="AP13" t="s" s="488">
        <f>'Parameters'!D13</f>
        <v>219</v>
      </c>
      <c r="AQ13" s="489">
        <f>IF(ISERROR(VLOOKUP($AP13,$D$4:$E$68,2,FALSE)),0,(VLOOKUP($AP13,$D$4:$E$68,2,FALSE)))</f>
        <v>6.8</v>
      </c>
      <c r="AR13" s="489">
        <f>_xlfn.SUMIFS($J$4:$J$68,$D$4:$D$68,AP13)</f>
        <v>0.7448</v>
      </c>
      <c r="AS13" s="490">
        <f>IF(AQ13&gt;0,AR13/AQ13," ")</f>
        <v>0.109529411764706</v>
      </c>
      <c r="AT13" s="489">
        <f>_xlfn.SUMIFS($AD$4:$AD$68,$D$4:$D$68,AP13)</f>
        <v>0.876902045558477</v>
      </c>
      <c r="AU13" t="s" s="466">
        <f>IF(AR13=$BA$12,AS13,"")</f>
      </c>
      <c r="AV13" s="491"/>
      <c r="AW13" s="491"/>
      <c r="AX13" s="508"/>
      <c r="AY13" s="441"/>
      <c r="AZ13" t="s" s="502">
        <v>431</v>
      </c>
      <c r="BA13" s="505">
        <f>COUNTIF(AR4:AR28,BA12)</f>
        <v>1</v>
      </c>
      <c r="BB13" s="470"/>
      <c r="BC13" t="s" s="488">
        <v>438</v>
      </c>
      <c r="BD13" s="501">
        <f>AT31</f>
        <v>12.5075616732233</v>
      </c>
      <c r="BE13" s="504">
        <f>AW31*100</f>
        <v>9.26486049868393</v>
      </c>
      <c r="BF13" s="507"/>
      <c r="BG13" s="495"/>
      <c r="BH13" s="495"/>
      <c r="BI13" s="495"/>
      <c r="BJ13" s="441"/>
      <c r="BK13" s="441"/>
      <c r="BL13" s="441"/>
    </row>
    <row r="14" ht="16" customHeight="1">
      <c r="A14" s="470"/>
      <c r="B14" s="479">
        <f>IF('Window &amp; Door DATA INPUT'!B20&gt;1,1,0)</f>
        <v>1</v>
      </c>
      <c r="C14" s="479">
        <f>IF(AND(B14=1,OR(D14='Parameters'!$D$17,D14='Parameters'!$D$18,D14='Parameters'!$D$19,D14='Parameters'!$D$20,D14='Parameters'!$D$21)),1,0)</f>
        <v>0</v>
      </c>
      <c r="D14" t="s" s="480">
        <f>IF('Window &amp; Door DATA INPUT'!B20="","",'Window &amp; Door DATA INPUT'!B20)</f>
        <v>197</v>
      </c>
      <c r="E14" s="481">
        <f>IF('Window &amp; Door DATA INPUT'!D20="","",'Window &amp; Door DATA INPUT'!D20)</f>
        <v>34.002</v>
      </c>
      <c r="F14" t="s" s="480">
        <f>IF(B14=1,'Window &amp; Door DATA INPUT'!H20&amp;'RESULTS'!$H$5,"")</f>
        <v>434</v>
      </c>
      <c r="G14" t="s" s="480">
        <f>IF(B14=1,VLOOKUP(F14,'Parameters'!$H$4:$I$20,2,FALSE),"")</f>
        <v>203</v>
      </c>
      <c r="H14" t="s" s="480">
        <f>IF(OR('Window &amp; Door DATA INPUT'!J20='Parameters'!$K$4,'Window &amp; Door DATA INPUT'!J20='Parameters'!$K$11),"No",IF('Window &amp; Door DATA INPUT'!K20="","",'Window &amp; Door DATA INPUT'!K20))</f>
        <v>199</v>
      </c>
      <c r="I14" t="s" s="414">
        <f>IF('Window &amp; Door DATA INPUT'!J20="","",'Window &amp; Door DATA INPUT'!J20)</f>
        <v>183</v>
      </c>
      <c r="J14" s="482">
        <f>IF('Window &amp; Door DATA INPUT'!L20='Parameters'!$O$5,'Window &amp; Door DATA INPUT'!O20,IF(B14=1,'Window &amp; Door DATA INPUT'!N20*'Window &amp; Door DATA INPUT'!M20,""))</f>
        <v>1.6328</v>
      </c>
      <c r="K14" t="s" s="414">
        <f>IF('Window &amp; Door DATA INPUT'!J20="","",VLOOKUP('Window &amp; Door DATA INPUT'!J20,'Parameters'!$K$4:$L$16,2,FALSE))</f>
        <v>416</v>
      </c>
      <c r="L14" t="s" s="480">
        <f>IF($H14="yes",IF($K14="Y",'Window &amp; Door DATA INPUT'!Q20,IF($K14="N",'Window &amp; Door DATA INPUT'!P20)),"")</f>
      </c>
      <c r="M14" t="s" s="480">
        <f>IF($H14="yes",IF($K14="Y",'Window &amp; Door DATA INPUT'!P20,IF($K14="N",'Window &amp; Door DATA INPUT'!Q20)),"")</f>
      </c>
      <c r="N14" t="s" s="480">
        <f>IF(L14="","",L14*M14)</f>
      </c>
      <c r="O14" t="s" s="414">
        <f>IF(AND(B14=1,C14=0,H14="yes"),"A",IF(AND(C14=1,H14="yes",'Window &amp; Door DATA INPUT'!R20="no"),"B",IF(AND(C14=1,H14="yes",'Window &amp; Door DATA INPUT'!R20="yes",'Window &amp; Door DATA INPUT'!S20="yes"),"C",IF(AND(C14=1,H14="yes",'Window &amp; Door DATA INPUT'!R20="yes",'Window &amp; Door DATA INPUT'!S20="no"),"D",""))))</f>
      </c>
      <c r="P14" t="s" s="414">
        <f>IF(AND(C14=1,H14="yes",OR(I14='Parameters'!$K$12,I14='Parameters'!$K$13,I14='Parameters'!$K$14)),"E",IF(AND(C14=1,H14="yes",NOT(OR(I14='Parameters'!$K$12,I14='Parameters'!$K$13,I14='Parameters'!$K$14))),"F",""))</f>
      </c>
      <c r="Q14" t="s" s="414">
        <f>IF(AND(B14=1,H14="yes"),VLOOKUP(I14,'Parameters'!$K$4:$M$16,3,FALSE),"")</f>
      </c>
      <c r="R14" t="s" s="414">
        <f>IF(AND(OR(O14="A",O14="B",O14="d"),Q14="input"),'Window &amp; Door DATA INPUT'!AA20,IF(AND(O14="C",Q14="input"),'Window &amp; Door DATA INPUT'!W20,Q14))</f>
      </c>
      <c r="S14" t="s" s="414">
        <f>IF('Window &amp; Door DATA INPUT'!X20="Yes",'Window &amp; Door DATA INPUT'!Y20/1000,IF(B14=1,"N/A",""))</f>
        <v>416</v>
      </c>
      <c r="T14" t="s" s="480">
        <f>IF(Q14="calc",IF(P14="yes",'Window &amp; Door DATA INPUT'!U20/1000,('Parameters'!$S$4-'Window &amp; Door DATA INPUT'!Z20+'Parameters'!$Q$4)/1000),"")</f>
      </c>
      <c r="U14" t="s" s="480">
        <f>IF(Q14="calc",IF(T14&gt;M14,M14,T14),"")</f>
      </c>
      <c r="V14" t="s" s="480">
        <f>IF(AND(S14&gt;0,S14&lt;U14),S14,U14)</f>
      </c>
      <c r="W14" t="s" s="496">
        <f>IF(R14="calc",DEGREES(ASIN(V14/M14)),R14)</f>
      </c>
      <c r="X14" t="s" s="480">
        <f>IF(OR($H14="no",$B14=0),"",IF($I14='Parameters'!$K$15,$L14/($M14/2),$L14/$M14))</f>
      </c>
      <c r="Y14" t="s" s="480">
        <f>IF(OR($H14="no",$B14=0),"",IF($X14&lt;0.5,'Parameters'!$X$4,IF($X14&lt;1,'Parameters'!$Y$4,IF($X14&lt;2,'Parameters'!$Z$4,'Parameters'!$AA$4))))</f>
      </c>
      <c r="Z14" t="s" s="480">
        <f>IF(OR($H14="no",$B14=0),"",IF($X14&lt;0.5,'Parameters'!$X$5,IF($X14&lt;1,'Parameters'!$Y$5,IF($X14&lt;2,'Parameters'!$Z$5,'Parameters'!$AA$5))))</f>
      </c>
      <c r="AA14" t="s" s="480">
        <f>IF(OR($H14="no",$B14=0),"",IF($I14='Parameters'!$K$15,(2*($M14/2)*SIN(RADIANS($W14/2))),(2*$M14*SIN(RADIANS($W14/2)))))</f>
      </c>
      <c r="AB14" t="s" s="480">
        <f>IF(OR($H14="no",$B14=0),"",$Z14*(1-EXP(-$Y14*$W14)))</f>
      </c>
      <c r="AC14" t="s" s="480">
        <f>IF(OR($H14="no",$B14=0),"",IF($I14='Parameters'!$K$15,$AB14*$N14/2,$AB14*$N14))</f>
      </c>
      <c r="AD14" t="s" s="497">
        <f>IF(OR($H14="no",$B14=0),"",IF($I14='Parameters'!$K$15,$AC14*2/'Parameters'!$AB$4,$AC14/'Parameters'!$AB$4))</f>
      </c>
      <c r="AE14" t="s" s="487">
        <f>IF(AND(O14="B",Q14="calc"),V14,IF(AND(O14="C",Q14="calc"),'Window &amp; Door DATA INPUT'!T20/1000,""))</f>
      </c>
      <c r="AF14" t="s" s="414">
        <f>IF(AND(O14="B",Q14="input"),'Window &amp; Door DATA INPUT'!AA20,IF(AND(O14="C",Q14="input",P14="F"),'Window &amp; Door DATA INPUT'!V20,IF(AND(O14="C",P14="E"),0,IF(AND(O14="D"),0,IF(AND(B14=1,C14=0),"",(Q14))))))</f>
      </c>
      <c r="AG14" t="s" s="496">
        <f>IF(AF14="calc",DEGREES(ASIN(AE14/M14)),AF14)</f>
      </c>
      <c r="AH14" t="s" s="480">
        <f>IF(OR($H14="no",$C14=0),"",IF($I14='Parameters'!$K$15,$L14/($M14/2),$L14/$M14))</f>
      </c>
      <c r="AI14" t="s" s="480">
        <f>IF(OR($H14="no",$C14=0),"",IF($AH14&lt;0.5,'Parameters'!$X$4,IF($AH14&lt;1,'Parameters'!$Y$4,IF($AH14&lt;2,'Parameters'!$Z$4,'Parameters'!$AA$4))))</f>
      </c>
      <c r="AJ14" t="s" s="480">
        <f>IF(OR($H14="no",$C14=0),"",IF($AH14&lt;0.5,'Parameters'!$X$5,IF($AH14&lt;1,'Parameters'!$Y$5,IF($AH14&lt;2,'Parameters'!$Z$5,'Parameters'!$AA$5))))</f>
      </c>
      <c r="AK14" t="s" s="480">
        <f>IF(OR($H14="no",$C14=0),"",IF($I14='Parameters'!$K$15,(2*($M14/2)*SIN(RADIANS($AG14/2))),(2*$M14*SIN(RADIANS($AG14/2)))))</f>
      </c>
      <c r="AL14" t="s" s="480">
        <f>IF(OR($H14="no",$C14=0),"",$AJ14*(1-EXP(-$AI14*$AG14)))</f>
      </c>
      <c r="AM14" t="s" s="480">
        <f>IF(OR($H14="no",$C14=0),"",IF($I14='Parameters'!$K$15,$AL14*$N14/2,$AL14*$N14))</f>
      </c>
      <c r="AN14" t="s" s="497">
        <f>IF(OR($H14="no",$C14=0),"",IF($I14='Parameters'!$K$15,$AM14*2/'Parameters'!$AB$4,$AM14/'Parameters'!$AB$4))</f>
      </c>
      <c r="AO14" s="474"/>
      <c r="AP14" t="s" s="488">
        <f>'Parameters'!D14</f>
        <v>221</v>
      </c>
      <c r="AQ14" s="489">
        <f>IF(ISERROR(VLOOKUP($AP14,$D$4:$E$68,2,FALSE)),0,(VLOOKUP($AP14,$D$4:$E$68,2,FALSE)))</f>
        <v>5.3</v>
      </c>
      <c r="AR14" s="489">
        <f>_xlfn.SUMIFS($J$4:$J$68,$D$4:$D$68,AP14)</f>
        <v>0.7448</v>
      </c>
      <c r="AS14" s="490">
        <f>IF(AQ14&gt;0,AR14/AQ14," ")</f>
        <v>0.140528301886792</v>
      </c>
      <c r="AT14" s="489">
        <f>_xlfn.SUMIFS($AD$4:$AD$68,$D$4:$D$68,AP14)</f>
        <v>0.876902045558477</v>
      </c>
      <c r="AU14" t="s" s="466">
        <f>IF(AR14=$BA$12,AS14,"")</f>
      </c>
      <c r="AV14" s="491"/>
      <c r="AW14" s="491"/>
      <c r="AX14" s="499"/>
      <c r="AY14" s="441"/>
      <c r="AZ14" s="441"/>
      <c r="BA14" s="441"/>
      <c r="BB14" s="441"/>
      <c r="BC14" s="500"/>
      <c r="BD14" s="500"/>
      <c r="BE14" s="500"/>
      <c r="BF14" s="495"/>
      <c r="BG14" s="495"/>
      <c r="BH14" s="495"/>
      <c r="BI14" s="495"/>
      <c r="BJ14" s="441"/>
      <c r="BK14" s="441"/>
      <c r="BL14" s="441"/>
    </row>
    <row r="15" ht="16" customHeight="1">
      <c r="A15" s="470"/>
      <c r="B15" s="479">
        <f>IF('Window &amp; Door DATA INPUT'!B21&gt;1,1,0)</f>
        <v>1</v>
      </c>
      <c r="C15" s="479">
        <f>IF(AND(B15=1,OR(D15='Parameters'!$D$17,D15='Parameters'!$D$18,D15='Parameters'!$D$19,D15='Parameters'!$D$20,D15='Parameters'!$D$21)),1,0)</f>
        <v>0</v>
      </c>
      <c r="D15" t="s" s="480">
        <f>IF('Window &amp; Door DATA INPUT'!B21="","",'Window &amp; Door DATA INPUT'!B21)</f>
        <v>197</v>
      </c>
      <c r="E15" s="481">
        <f>IF('Window &amp; Door DATA INPUT'!D21="","",'Window &amp; Door DATA INPUT'!D21)</f>
        <v>34.002</v>
      </c>
      <c r="F15" t="s" s="480">
        <f>IF(B15=1,'Window &amp; Door DATA INPUT'!H21&amp;'RESULTS'!$H$5,"")</f>
        <v>439</v>
      </c>
      <c r="G15" t="s" s="480">
        <f>IF(B15=1,VLOOKUP(F15,'Parameters'!$H$4:$I$20,2,FALSE),"")</f>
        <v>207</v>
      </c>
      <c r="H15" t="s" s="480">
        <f>IF(OR('Window &amp; Door DATA INPUT'!J21='Parameters'!$K$4,'Window &amp; Door DATA INPUT'!J21='Parameters'!$K$11),"No",IF('Window &amp; Door DATA INPUT'!K21="","",'Window &amp; Door DATA INPUT'!K21))</f>
        <v>199</v>
      </c>
      <c r="I15" t="s" s="414">
        <f>IF('Window &amp; Door DATA INPUT'!J21="","",'Window &amp; Door DATA INPUT'!J21)</f>
        <v>183</v>
      </c>
      <c r="J15" s="482">
        <f>IF('Window &amp; Door DATA INPUT'!L21='Parameters'!$O$5,'Window &amp; Door DATA INPUT'!O21,IF(B15=1,'Window &amp; Door DATA INPUT'!N21*'Window &amp; Door DATA INPUT'!M21,""))</f>
        <v>0.4968</v>
      </c>
      <c r="K15" t="s" s="414">
        <f>IF('Window &amp; Door DATA INPUT'!J21="","",VLOOKUP('Window &amp; Door DATA INPUT'!J21,'Parameters'!$K$4:$L$16,2,FALSE))</f>
        <v>416</v>
      </c>
      <c r="L15" t="s" s="480">
        <f>IF($H15="yes",IF($K15="Y",'Window &amp; Door DATA INPUT'!Q21,IF($K15="N",'Window &amp; Door DATA INPUT'!P21)),"")</f>
      </c>
      <c r="M15" t="s" s="480">
        <f>IF($H15="yes",IF($K15="Y",'Window &amp; Door DATA INPUT'!P21,IF($K15="N",'Window &amp; Door DATA INPUT'!Q21)),"")</f>
      </c>
      <c r="N15" t="s" s="480">
        <f>IF(L15="","",L15*M15)</f>
      </c>
      <c r="O15" t="s" s="414">
        <f>IF(AND(B15=1,C15=0,H15="yes"),"A",IF(AND(C15=1,H15="yes",'Window &amp; Door DATA INPUT'!R21="no"),"B",IF(AND(C15=1,H15="yes",'Window &amp; Door DATA INPUT'!R21="yes",'Window &amp; Door DATA INPUT'!S21="yes"),"C",IF(AND(C15=1,H15="yes",'Window &amp; Door DATA INPUT'!R21="yes",'Window &amp; Door DATA INPUT'!S21="no"),"D",""))))</f>
      </c>
      <c r="P15" t="s" s="414">
        <f>IF(AND(C15=1,H15="yes",OR(I15='Parameters'!$K$12,I15='Parameters'!$K$13,I15='Parameters'!$K$14)),"E",IF(AND(C15=1,H15="yes",NOT(OR(I15='Parameters'!$K$12,I15='Parameters'!$K$13,I15='Parameters'!$K$14))),"F",""))</f>
      </c>
      <c r="Q15" t="s" s="414">
        <f>IF(AND(B15=1,H15="yes"),VLOOKUP(I15,'Parameters'!$K$4:$M$16,3,FALSE),"")</f>
      </c>
      <c r="R15" t="s" s="414">
        <f>IF(AND(OR(O15="A",O15="B",O15="d"),Q15="input"),'Window &amp; Door DATA INPUT'!AA21,IF(AND(O15="C",Q15="input"),'Window &amp; Door DATA INPUT'!W21,Q15))</f>
      </c>
      <c r="S15" t="s" s="414">
        <f>IF('Window &amp; Door DATA INPUT'!X21="Yes",'Window &amp; Door DATA INPUT'!Y21/1000,IF(B15=1,"N/A",""))</f>
        <v>416</v>
      </c>
      <c r="T15" t="s" s="480">
        <f>IF(Q15="calc",IF(P15="yes",'Window &amp; Door DATA INPUT'!U21/1000,('Parameters'!$S$4-'Window &amp; Door DATA INPUT'!Z21+'Parameters'!$Q$4)/1000),"")</f>
      </c>
      <c r="U15" t="s" s="480">
        <f>IF(Q15="calc",IF(T15&gt;M15,M15,T15),"")</f>
      </c>
      <c r="V15" t="s" s="480">
        <f>IF(AND(S15&gt;0,S15&lt;U15),S15,U15)</f>
      </c>
      <c r="W15" t="s" s="496">
        <f>IF(R15="calc",DEGREES(ASIN(V15/M15)),R15)</f>
      </c>
      <c r="X15" t="s" s="480">
        <f>IF(OR($H15="no",$B15=0),"",IF($I15='Parameters'!$K$15,$L15/($M15/2),$L15/$M15))</f>
      </c>
      <c r="Y15" t="s" s="480">
        <f>IF(OR($H15="no",$B15=0),"",IF($X15&lt;0.5,'Parameters'!$X$4,IF($X15&lt;1,'Parameters'!$Y$4,IF($X15&lt;2,'Parameters'!$Z$4,'Parameters'!$AA$4))))</f>
      </c>
      <c r="Z15" t="s" s="480">
        <f>IF(OR($H15="no",$B15=0),"",IF($X15&lt;0.5,'Parameters'!$X$5,IF($X15&lt;1,'Parameters'!$Y$5,IF($X15&lt;2,'Parameters'!$Z$5,'Parameters'!$AA$5))))</f>
      </c>
      <c r="AA15" t="s" s="480">
        <f>IF(OR($H15="no",$B15=0),"",IF($I15='Parameters'!$K$15,(2*($M15/2)*SIN(RADIANS($W15/2))),(2*$M15*SIN(RADIANS($W15/2)))))</f>
      </c>
      <c r="AB15" t="s" s="480">
        <f>IF(OR($H15="no",$B15=0),"",$Z15*(1-EXP(-$Y15*$W15)))</f>
      </c>
      <c r="AC15" t="s" s="480">
        <f>IF(OR($H15="no",$B15=0),"",IF($I15='Parameters'!$K$15,$AB15*$N15/2,$AB15*$N15))</f>
      </c>
      <c r="AD15" t="s" s="497">
        <f>IF(OR($H15="no",$B15=0),"",IF($I15='Parameters'!$K$15,$AC15*2/'Parameters'!$AB$4,$AC15/'Parameters'!$AB$4))</f>
      </c>
      <c r="AE15" t="s" s="487">
        <f>IF(AND(O15="B",Q15="calc"),V15,IF(AND(O15="C",Q15="calc"),'Window &amp; Door DATA INPUT'!T21/1000,""))</f>
      </c>
      <c r="AF15" t="s" s="414">
        <f>IF(AND(O15="B",Q15="input"),'Window &amp; Door DATA INPUT'!AA21,IF(AND(O15="C",Q15="input",P15="F"),'Window &amp; Door DATA INPUT'!V21,IF(AND(O15="C",P15="E"),0,IF(AND(O15="D"),0,IF(AND(B15=1,C15=0),"",(Q15))))))</f>
      </c>
      <c r="AG15" t="s" s="496">
        <f>IF(AF15="calc",DEGREES(ASIN(AE15/M15)),AF15)</f>
      </c>
      <c r="AH15" t="s" s="480">
        <f>IF(OR($H15="no",$C15=0),"",IF($I15='Parameters'!$K$15,$L15/($M15/2),$L15/$M15))</f>
      </c>
      <c r="AI15" t="s" s="480">
        <f>IF(OR($H15="no",$C15=0),"",IF($AH15&lt;0.5,'Parameters'!$X$4,IF($AH15&lt;1,'Parameters'!$Y$4,IF($AH15&lt;2,'Parameters'!$Z$4,'Parameters'!$AA$4))))</f>
      </c>
      <c r="AJ15" t="s" s="480">
        <f>IF(OR($H15="no",$C15=0),"",IF($AH15&lt;0.5,'Parameters'!$X$5,IF($AH15&lt;1,'Parameters'!$Y$5,IF($AH15&lt;2,'Parameters'!$Z$5,'Parameters'!$AA$5))))</f>
      </c>
      <c r="AK15" t="s" s="480">
        <f>IF(OR($H15="no",$C15=0),"",IF($I15='Parameters'!$K$15,(2*($M15/2)*SIN(RADIANS($AG15/2))),(2*$M15*SIN(RADIANS($AG15/2)))))</f>
      </c>
      <c r="AL15" t="s" s="480">
        <f>IF(OR($H15="no",$C15=0),"",$AJ15*(1-EXP(-$AI15*$AG15)))</f>
      </c>
      <c r="AM15" t="s" s="480">
        <f>IF(OR($H15="no",$C15=0),"",IF($I15='Parameters'!$K$15,$AL15*$N15/2,$AL15*$N15))</f>
      </c>
      <c r="AN15" t="s" s="497">
        <f>IF(OR($H15="no",$C15=0),"",IF($I15='Parameters'!$K$15,$AM15*2/'Parameters'!$AB$4,$AM15/'Parameters'!$AB$4))</f>
      </c>
      <c r="AO15" s="474"/>
      <c r="AP15" t="s" s="488">
        <f>'Parameters'!D15</f>
        <v>440</v>
      </c>
      <c r="AQ15" s="489">
        <f>IF(ISERROR(VLOOKUP($AP15,$D$4:$E$68,2,FALSE)),0,(VLOOKUP($AP15,$D$4:$E$68,2,FALSE)))</f>
        <v>0</v>
      </c>
      <c r="AR15" s="489">
        <f>_xlfn.SUMIFS($J$4:$J$68,$D$4:$D$68,AP15)</f>
        <v>0</v>
      </c>
      <c r="AS15" t="s" s="466">
        <f>IF(AQ15&gt;0,AR15/AQ15," ")</f>
        <v>421</v>
      </c>
      <c r="AT15" s="489">
        <f>_xlfn.SUMIFS($AD$4:$AD$68,$D$4:$D$68,AP15)</f>
        <v>0</v>
      </c>
      <c r="AU15" t="s" s="466">
        <f>IF(AR15=$BA$12,AS15,"")</f>
      </c>
      <c r="AV15" s="491"/>
      <c r="AW15" s="491"/>
      <c r="AX15" s="499"/>
      <c r="AY15" s="441"/>
      <c r="AZ15" s="441"/>
      <c r="BA15" s="441"/>
      <c r="BB15" s="441"/>
      <c r="BC15" t="s" s="464">
        <v>441</v>
      </c>
      <c r="BD15" s="449"/>
      <c r="BE15" s="449"/>
      <c r="BF15" s="495"/>
      <c r="BG15" s="495"/>
      <c r="BH15" s="495"/>
      <c r="BI15" s="495"/>
      <c r="BJ15" s="441"/>
      <c r="BK15" s="441"/>
      <c r="BL15" s="441"/>
    </row>
    <row r="16" ht="17" customHeight="1">
      <c r="A16" s="470"/>
      <c r="B16" s="479">
        <f>IF('Window &amp; Door DATA INPUT'!B22&gt;1,1,0)</f>
        <v>1</v>
      </c>
      <c r="C16" s="479">
        <f>IF(AND(B16=1,OR(D16='Parameters'!$D$17,D16='Parameters'!$D$18,D16='Parameters'!$D$19,D16='Parameters'!$D$20,D16='Parameters'!$D$21)),1,0)</f>
        <v>0</v>
      </c>
      <c r="D16" t="s" s="480">
        <f>IF('Window &amp; Door DATA INPUT'!B22="","",'Window &amp; Door DATA INPUT'!B22)</f>
        <v>208</v>
      </c>
      <c r="E16" s="481">
        <f>IF('Window &amp; Door DATA INPUT'!D22="","",'Window &amp; Door DATA INPUT'!D22)</f>
        <v>7.7449</v>
      </c>
      <c r="F16" t="s" s="480">
        <f>IF(B16=1,'Window &amp; Door DATA INPUT'!H22&amp;'RESULTS'!$H$5,"")</f>
        <v>439</v>
      </c>
      <c r="G16" t="s" s="480">
        <f>IF(B16=1,VLOOKUP(F16,'Parameters'!$H$4:$I$20,2,FALSE),"")</f>
        <v>207</v>
      </c>
      <c r="H16" t="s" s="480">
        <f>IF(OR('Window &amp; Door DATA INPUT'!J22='Parameters'!$K$4,'Window &amp; Door DATA INPUT'!J22='Parameters'!$K$11),"No",IF('Window &amp; Door DATA INPUT'!K22="","",'Window &amp; Door DATA INPUT'!K22))</f>
        <v>199</v>
      </c>
      <c r="I16" t="s" s="414">
        <f>IF('Window &amp; Door DATA INPUT'!J22="","",'Window &amp; Door DATA INPUT'!J22)</f>
        <v>183</v>
      </c>
      <c r="J16" s="482">
        <f>IF('Window &amp; Door DATA INPUT'!L22='Parameters'!$O$5,'Window &amp; Door DATA INPUT'!O22,IF(B16=1,'Window &amp; Door DATA INPUT'!N22*'Window &amp; Door DATA INPUT'!M22,""))</f>
        <v>0.4968</v>
      </c>
      <c r="K16" t="s" s="414">
        <f>IF('Window &amp; Door DATA INPUT'!J22="","",VLOOKUP('Window &amp; Door DATA INPUT'!J22,'Parameters'!$K$4:$L$16,2,FALSE))</f>
        <v>416</v>
      </c>
      <c r="L16" t="s" s="480">
        <f>IF($H16="yes",IF($K16="Y",'Window &amp; Door DATA INPUT'!Q22,IF($K16="N",'Window &amp; Door DATA INPUT'!P22)),"")</f>
      </c>
      <c r="M16" t="s" s="480">
        <f>IF($H16="yes",IF($K16="Y",'Window &amp; Door DATA INPUT'!P22,IF($K16="N",'Window &amp; Door DATA INPUT'!Q22)),"")</f>
      </c>
      <c r="N16" t="s" s="480">
        <f>IF(L16="","",L16*M16)</f>
      </c>
      <c r="O16" t="s" s="414">
        <f>IF(AND(B16=1,C16=0,H16="yes"),"A",IF(AND(C16=1,H16="yes",'Window &amp; Door DATA INPUT'!R22="no"),"B",IF(AND(C16=1,H16="yes",'Window &amp; Door DATA INPUT'!R22="yes",'Window &amp; Door DATA INPUT'!S22="yes"),"C",IF(AND(C16=1,H16="yes",'Window &amp; Door DATA INPUT'!R22="yes",'Window &amp; Door DATA INPUT'!S22="no"),"D",""))))</f>
      </c>
      <c r="P16" t="s" s="414">
        <f>IF(AND(C16=1,H16="yes",OR(I16='Parameters'!$K$12,I16='Parameters'!$K$13,I16='Parameters'!$K$14)),"E",IF(AND(C16=1,H16="yes",NOT(OR(I16='Parameters'!$K$12,I16='Parameters'!$K$13,I16='Parameters'!$K$14))),"F",""))</f>
      </c>
      <c r="Q16" t="s" s="414">
        <f>IF(AND(B16=1,H16="yes"),VLOOKUP(I16,'Parameters'!$K$4:$M$16,3,FALSE),"")</f>
      </c>
      <c r="R16" t="s" s="414">
        <f>IF(AND(OR(O16="A",O16="B",O16="d"),Q16="input"),'Window &amp; Door DATA INPUT'!AA22,IF(AND(O16="C",Q16="input"),'Window &amp; Door DATA INPUT'!W22,Q16))</f>
      </c>
      <c r="S16" t="s" s="414">
        <f>IF('Window &amp; Door DATA INPUT'!X22="Yes",'Window &amp; Door DATA INPUT'!Y22/1000,IF(B16=1,"N/A",""))</f>
        <v>416</v>
      </c>
      <c r="T16" t="s" s="480">
        <f>IF(Q16="calc",IF(P16="yes",'Window &amp; Door DATA INPUT'!U22/1000,('Parameters'!$S$4-'Window &amp; Door DATA INPUT'!Z22+'Parameters'!$Q$4)/1000),"")</f>
      </c>
      <c r="U16" t="s" s="480">
        <f>IF(Q16="calc",IF(T16&gt;M16,M16,T16),"")</f>
      </c>
      <c r="V16" t="s" s="480">
        <f>IF(AND(S16&gt;0,S16&lt;U16),S16,U16)</f>
      </c>
      <c r="W16" t="s" s="496">
        <f>IF(R16="calc",DEGREES(ASIN(V16/M16)),R16)</f>
      </c>
      <c r="X16" t="s" s="480">
        <f>IF(OR($H16="no",$B16=0),"",IF($I16='Parameters'!$K$15,$L16/($M16/2),$L16/$M16))</f>
      </c>
      <c r="Y16" t="s" s="480">
        <f>IF(OR($H16="no",$B16=0),"",IF($X16&lt;0.5,'Parameters'!$X$4,IF($X16&lt;1,'Parameters'!$Y$4,IF($X16&lt;2,'Parameters'!$Z$4,'Parameters'!$AA$4))))</f>
      </c>
      <c r="Z16" t="s" s="480">
        <f>IF(OR($H16="no",$B16=0),"",IF($X16&lt;0.5,'Parameters'!$X$5,IF($X16&lt;1,'Parameters'!$Y$5,IF($X16&lt;2,'Parameters'!$Z$5,'Parameters'!$AA$5))))</f>
      </c>
      <c r="AA16" t="s" s="480">
        <f>IF(OR($H16="no",$B16=0),"",IF($I16='Parameters'!$K$15,(2*($M16/2)*SIN(RADIANS($W16/2))),(2*$M16*SIN(RADIANS($W16/2)))))</f>
      </c>
      <c r="AB16" t="s" s="480">
        <f>IF(OR($H16="no",$B16=0),"",$Z16*(1-EXP(-$Y16*$W16)))</f>
      </c>
      <c r="AC16" t="s" s="480">
        <f>IF(OR($H16="no",$B16=0),"",IF($I16='Parameters'!$K$15,$AB16*$N16/2,$AB16*$N16))</f>
      </c>
      <c r="AD16" t="s" s="497">
        <f>IF(OR($H16="no",$B16=0),"",IF($I16='Parameters'!$K$15,$AC16*2/'Parameters'!$AB$4,$AC16/'Parameters'!$AB$4))</f>
      </c>
      <c r="AE16" t="s" s="487">
        <f>IF(AND(O16="B",Q16="calc"),V16,IF(AND(O16="C",Q16="calc"),'Window &amp; Door DATA INPUT'!T22/1000,""))</f>
      </c>
      <c r="AF16" t="s" s="414">
        <f>IF(AND(O16="B",Q16="input"),'Window &amp; Door DATA INPUT'!AA22,IF(AND(O16="C",Q16="input",P16="F"),'Window &amp; Door DATA INPUT'!V22,IF(AND(O16="C",P16="E"),0,IF(AND(O16="D"),0,IF(AND(B16=1,C16=0),"",(Q16))))))</f>
      </c>
      <c r="AG16" t="s" s="496">
        <f>IF(AF16="calc",DEGREES(ASIN(AE16/M16)),AF16)</f>
      </c>
      <c r="AH16" t="s" s="480">
        <f>IF(OR($H16="no",$C16=0),"",IF($I16='Parameters'!$K$15,$L16/($M16/2),$L16/$M16))</f>
      </c>
      <c r="AI16" t="s" s="480">
        <f>IF(OR($H16="no",$C16=0),"",IF($AH16&lt;0.5,'Parameters'!$X$4,IF($AH16&lt;1,'Parameters'!$Y$4,IF($AH16&lt;2,'Parameters'!$Z$4,'Parameters'!$AA$4))))</f>
      </c>
      <c r="AJ16" t="s" s="480">
        <f>IF(OR($H16="no",$C16=0),"",IF($AH16&lt;0.5,'Parameters'!$X$5,IF($AH16&lt;1,'Parameters'!$Y$5,IF($AH16&lt;2,'Parameters'!$Z$5,'Parameters'!$AA$5))))</f>
      </c>
      <c r="AK16" t="s" s="480">
        <f>IF(OR($H16="no",$C16=0),"",IF($I16='Parameters'!$K$15,(2*($M16/2)*SIN(RADIANS($AG16/2))),(2*$M16*SIN(RADIANS($AG16/2)))))</f>
      </c>
      <c r="AL16" t="s" s="480">
        <f>IF(OR($H16="no",$C16=0),"",$AJ16*(1-EXP(-$AI16*$AG16)))</f>
      </c>
      <c r="AM16" t="s" s="480">
        <f>IF(OR($H16="no",$C16=0),"",IF($I16='Parameters'!$K$15,$AL16*$N16/2,$AL16*$N16))</f>
      </c>
      <c r="AN16" t="s" s="497">
        <f>IF(OR($H16="no",$C16=0),"",IF($I16='Parameters'!$K$15,$AM16*2/'Parameters'!$AB$4,$AM16/'Parameters'!$AB$4))</f>
      </c>
      <c r="AO16" s="474"/>
      <c r="AP16" t="s" s="488">
        <f>'Parameters'!D16</f>
        <v>442</v>
      </c>
      <c r="AQ16" s="489">
        <f>IF(ISERROR(VLOOKUP($AP16,$D$4:$E$68,2,FALSE)),0,(VLOOKUP($AP16,$D$4:$E$68,2,FALSE)))</f>
        <v>0</v>
      </c>
      <c r="AR16" s="489">
        <f>_xlfn.SUMIFS($J$4:$J$68,$D$4:$D$68,AP16)</f>
        <v>0</v>
      </c>
      <c r="AS16" t="s" s="466">
        <f>IF(AQ16&gt;0,AR16/AQ16," ")</f>
        <v>421</v>
      </c>
      <c r="AT16" s="489">
        <f>_xlfn.SUMIFS($AD$4:$AD$68,$D$4:$D$68,AP16)</f>
        <v>0</v>
      </c>
      <c r="AU16" t="s" s="466">
        <f>IF(AR16=$BA$12,AS16,"")</f>
      </c>
      <c r="AV16" s="491"/>
      <c r="AW16" s="491"/>
      <c r="AX16" s="499"/>
      <c r="AY16" s="441"/>
      <c r="AZ16" s="441"/>
      <c r="BA16" s="441"/>
      <c r="BB16" s="470"/>
      <c r="BC16" t="s" s="488">
        <f>INDEX(AP4:AU28,MATCH(MAX(AU4:AU28),AS4:AS28,0),1)</f>
        <v>197</v>
      </c>
      <c r="BD16" t="s" s="466">
        <v>307</v>
      </c>
      <c r="BE16" t="s" s="466">
        <v>433</v>
      </c>
      <c r="BF16" s="507"/>
      <c r="BG16" s="495"/>
      <c r="BH16" s="495"/>
      <c r="BI16" s="495"/>
      <c r="BJ16" s="441"/>
      <c r="BK16" s="441"/>
      <c r="BL16" s="441"/>
    </row>
    <row r="17" ht="16" customHeight="1">
      <c r="A17" s="470"/>
      <c r="B17" s="479">
        <f>IF('Window &amp; Door DATA INPUT'!B23&gt;1,1,0)</f>
        <v>1</v>
      </c>
      <c r="C17" s="479">
        <f>IF(AND(B17=1,OR(D17='Parameters'!$D$17,D17='Parameters'!$D$18,D17='Parameters'!$D$19,D17='Parameters'!$D$20,D17='Parameters'!$D$21)),1,0)</f>
        <v>1</v>
      </c>
      <c r="D17" t="s" s="480">
        <f>IF('Window &amp; Door DATA INPUT'!B23="","",'Window &amp; Door DATA INPUT'!B23)</f>
        <v>211</v>
      </c>
      <c r="E17" s="481">
        <f>IF('Window &amp; Door DATA INPUT'!D23="","",'Window &amp; Door DATA INPUT'!D23)</f>
        <v>9.9</v>
      </c>
      <c r="F17" t="s" s="480">
        <f>IF(B17=1,'Window &amp; Door DATA INPUT'!H23&amp;'RESULTS'!$H$5,"")</f>
        <v>439</v>
      </c>
      <c r="G17" t="s" s="480">
        <f>IF(B17=1,VLOOKUP(F17,'Parameters'!$H$4:$I$20,2,FALSE),"")</f>
        <v>207</v>
      </c>
      <c r="H17" t="s" s="414">
        <f>IF(OR('Window &amp; Door DATA INPUT'!J23='Parameters'!$K$4,'Window &amp; Door DATA INPUT'!J23='Parameters'!$K$11),"No",IF('Window &amp; Door DATA INPUT'!K23="","",'Window &amp; Door DATA INPUT'!K23))</f>
        <v>138</v>
      </c>
      <c r="I17" t="s" s="414">
        <f>IF('Window &amp; Door DATA INPUT'!J23="","",'Window &amp; Door DATA INPUT'!J23)</f>
        <v>179</v>
      </c>
      <c r="J17" s="482">
        <f>IF('Window &amp; Door DATA INPUT'!L23='Parameters'!$O$5,'Window &amp; Door DATA INPUT'!O23,IF(B17=1,'Window &amp; Door DATA INPUT'!N23*'Window &amp; Door DATA INPUT'!M23,""))</f>
        <v>0.528</v>
      </c>
      <c r="K17" t="s" s="414">
        <f>IF('Window &amp; Door DATA INPUT'!J23="","",VLOOKUP('Window &amp; Door DATA INPUT'!J23,'Parameters'!$K$4:$L$16,2,FALSE))</f>
        <v>413</v>
      </c>
      <c r="L17" s="483">
        <f>IF($H17="yes",IF($K17="Y",'Window &amp; Door DATA INPUT'!Q23,IF($K17="N",'Window &amp; Door DATA INPUT'!P23)),"")</f>
        <v>0.62</v>
      </c>
      <c r="M17" s="483">
        <f>IF($H17="yes",IF($K17="Y",'Window &amp; Door DATA INPUT'!P23,IF($K17="N",'Window &amp; Door DATA INPUT'!Q23)),"")</f>
        <v>1.04</v>
      </c>
      <c r="N17" s="482">
        <f>IF(L17="","",L17*M17)</f>
        <v>0.6448</v>
      </c>
      <c r="O17" t="s" s="414">
        <f>IF(AND(B17=1,C17=0,H17="yes"),"A",IF(AND(C17=1,H17="yes",'Window &amp; Door DATA INPUT'!R23="no"),"B",IF(AND(C17=1,H17="yes",'Window &amp; Door DATA INPUT'!R23="yes",'Window &amp; Door DATA INPUT'!S23="yes"),"C",IF(AND(C17=1,H17="yes",'Window &amp; Door DATA INPUT'!R23="yes",'Window &amp; Door DATA INPUT'!S23="no"),"D",""))))</f>
        <v>250</v>
      </c>
      <c r="P17" t="s" s="414">
        <f>IF(AND(C17=1,H17="yes",OR(I17='Parameters'!$K$12,I17='Parameters'!$K$13,I17='Parameters'!$K$14)),"E",IF(AND(C17=1,H17="yes",NOT(OR(I17='Parameters'!$K$12,I17='Parameters'!$K$13,I17='Parameters'!$K$14))),"F",""))</f>
        <v>414</v>
      </c>
      <c r="Q17" t="s" s="414">
        <f>IF(AND(B17=1,H17="yes"),VLOOKUP(I17,'Parameters'!$K$4:$M$16,3,FALSE),"")</f>
        <v>415</v>
      </c>
      <c r="R17" s="484">
        <f>IF(AND(OR(O17="A",O17="B",O17="d"),Q17="input"),'Window &amp; Door DATA INPUT'!AA23,IF(AND(O17="C",Q17="input"),'Window &amp; Door DATA INPUT'!W23,Q17))</f>
        <v>90</v>
      </c>
      <c r="S17" t="s" s="414">
        <f>IF('Window &amp; Door DATA INPUT'!X23="Yes",'Window &amp; Door DATA INPUT'!Y23/1000,IF(B17=1,"N/A",""))</f>
        <v>416</v>
      </c>
      <c r="T17" t="s" s="480">
        <f>IF(Q17="calc",IF(P17="yes",'Window &amp; Door DATA INPUT'!U23/1000,('Parameters'!$S$4-'Window &amp; Door DATA INPUT'!Z23+'Parameters'!$Q$4)/1000),"")</f>
      </c>
      <c r="U17" t="s" s="480">
        <f>IF(Q17="calc",IF(T17&gt;M17,M17,T17),"")</f>
      </c>
      <c r="V17" t="s" s="480">
        <f>IF(AND(S17&gt;0,S17&lt;U17),S17,U17)</f>
      </c>
      <c r="W17" s="485">
        <f>IF(R17="calc",DEGREES(ASIN(V17/M17)),R17)</f>
        <v>90</v>
      </c>
      <c r="X17" s="483">
        <f>IF(OR($H17="no",$B17=0),"",IF($I17='Parameters'!$K$15,$L17/($M17/2),$L17/$M17))</f>
        <v>0.596153846153846</v>
      </c>
      <c r="Y17" s="483">
        <f>IF(OR($H17="no",$B17=0),"",IF($X17&lt;0.5,'Parameters'!$X$4,IF($X17&lt;1,'Parameters'!$Y$4,IF($X17&lt;2,'Parameters'!$Z$4,'Parameters'!$AA$4))))</f>
        <v>0.0478352593239432</v>
      </c>
      <c r="Z17" s="483">
        <f>IF(OR($H17="no",$B17=0),"",IF($X17&lt;0.5,'Parameters'!$X$5,IF($X17&lt;1,'Parameters'!$Y$5,IF($X17&lt;2,'Parameters'!$Z$5,'Parameters'!$AA$5))))</f>
        <v>0.588607594936709</v>
      </c>
      <c r="AA17" s="483">
        <f>IF(OR($H17="no",$B17=0),"",IF($I17='Parameters'!$K$15,(2*($M17/2)*SIN(RADIANS($W17/2))),(2*$M17*SIN(RADIANS($W17/2)))))</f>
        <v>1.47078210486802</v>
      </c>
      <c r="AB17" s="483">
        <f>IF(OR($H17="no",$B17=0),"",$Z17*(1-EXP(-$Y17*$W17)))</f>
        <v>0.580662248527437</v>
      </c>
      <c r="AC17" s="483">
        <f>IF(OR($H17="no",$B17=0),"",IF($I17='Parameters'!$K$15,$AB17*$N17/2,$AB17*$N17))</f>
        <v>0.374411017850491</v>
      </c>
      <c r="AD17" s="486">
        <f>IF(OR($H17="no",$B17=0),"",IF($I17='Parameters'!$K$15,$AC17*2/'Parameters'!$AB$4,$AC17/'Parameters'!$AB$4))</f>
        <v>0.603888738468534</v>
      </c>
      <c r="AE17" t="s" s="487">
        <f>IF(AND(O17="B",Q17="calc"),V17,IF(AND(O17="C",Q17="calc"),'Window &amp; Door DATA INPUT'!T23/1000,""))</f>
      </c>
      <c r="AF17" s="484">
        <f>IF(AND(O17="B",Q17="input"),'Window &amp; Door DATA INPUT'!AA23,IF(AND(O17="C",Q17="input",P17="F"),'Window &amp; Door DATA INPUT'!V23,IF(AND(O17="C",P17="E"),0,IF(AND(O17="D"),0,IF(AND(B17=1,C17=0),"",(Q17))))))</f>
        <v>28</v>
      </c>
      <c r="AG17" s="485">
        <f>IF(AF17="calc",DEGREES(ASIN(AE17/M17)),AF17)</f>
        <v>28</v>
      </c>
      <c r="AH17" s="483">
        <f>IF(OR($H17="no",$C17=0),"",IF($I17='Parameters'!$K$15,$L17/($M17/2),$L17/$M17))</f>
        <v>0.596153846153846</v>
      </c>
      <c r="AI17" s="483">
        <f>IF(OR($H17="no",$C17=0),"",IF($AH17&lt;0.5,'Parameters'!$X$4,IF($AH17&lt;1,'Parameters'!$Y$4,IF($AH17&lt;2,'Parameters'!$Z$4,'Parameters'!$AA$4))))</f>
        <v>0.0478352593239432</v>
      </c>
      <c r="AJ17" s="483">
        <f>IF(OR($H17="no",$C17=0),"",IF($AH17&lt;0.5,'Parameters'!$X$5,IF($AH17&lt;1,'Parameters'!$Y$5,IF($AH17&lt;2,'Parameters'!$Z$5,'Parameters'!$AA$5))))</f>
        <v>0.588607594936709</v>
      </c>
      <c r="AK17" s="483">
        <f>IF(OR($H17="no",$C17=0),"",IF($I17='Parameters'!$K$15,(2*($M17/2)*SIN(RADIANS($AG17/2))),(2*$M17*SIN(RADIANS($AG17/2)))))</f>
        <v>0.503197542847309</v>
      </c>
      <c r="AL17" s="483">
        <f>IF(OR($H17="no",$C17=0),"",$AJ17*(1-EXP(-$AI17*$AG17)))</f>
        <v>0.434388778781453</v>
      </c>
      <c r="AM17" s="483">
        <f>IF(OR($H17="no",$C17=0),"",IF($I17='Parameters'!$K$15,$AL17*$N17/2,$AL17*$N17))</f>
        <v>0.280093884558281</v>
      </c>
      <c r="AN17" s="486">
        <f>IF(OR($H17="no",$C17=0),"",IF($I17='Parameters'!$K$15,$AM17*2/'Parameters'!$AB$4,$AM17/'Parameters'!$AB$4))</f>
        <v>0.451764329932711</v>
      </c>
      <c r="AO17" s="474"/>
      <c r="AP17" t="s" s="488">
        <f>'Parameters'!D17</f>
        <v>175</v>
      </c>
      <c r="AQ17" s="489">
        <f>IF(ISERROR(VLOOKUP($AP17,$D$4:$E$68,2,FALSE)),0,(VLOOKUP($AP17,$D$4:$E$68,2,FALSE)))</f>
        <v>10.9</v>
      </c>
      <c r="AR17" s="489">
        <f>_xlfn.SUMIFS($J$4:$J$68,$D$4:$D$68,AP17)</f>
        <v>1.056</v>
      </c>
      <c r="AS17" s="490">
        <f>IF(AQ17&gt;0,AR17/AQ17," ")</f>
        <v>0.0968807339449541</v>
      </c>
      <c r="AT17" s="489">
        <f>_xlfn.SUMIFS($AD$4:$AD$68,$D$4:$D$68,AP17)</f>
        <v>1.20777747693707</v>
      </c>
      <c r="AU17" t="s" s="466">
        <f>IF(AR17=$BA$12,AS17,"")</f>
      </c>
      <c r="AV17" s="489">
        <f>_xlfn.SUMIFS($AN$4:$AN$68,$D$4:$D$68,AP17)</f>
        <v>0.534708761477574</v>
      </c>
      <c r="AW17" s="490">
        <f>IF(AQ17&gt;0,AV17/AQ17," ")</f>
        <v>0.0490558496768417</v>
      </c>
      <c r="AX17" s="499"/>
      <c r="AY17" s="441"/>
      <c r="AZ17" s="441"/>
      <c r="BA17" s="441"/>
      <c r="BB17" s="470"/>
      <c r="BC17" t="s" s="488">
        <v>443</v>
      </c>
      <c r="BD17" s="501">
        <f>VLOOKUP($BC$16,$AP$4:$AR$28,3,FALSE)</f>
        <v>10.154</v>
      </c>
      <c r="BE17" s="504">
        <f>VLOOKUP($BC$16,$AP$4:$AS$28,4,FALSE)*100</f>
        <v>29.8629492382801</v>
      </c>
      <c r="BF17" s="507"/>
      <c r="BG17" s="495"/>
      <c r="BH17" s="495"/>
      <c r="BI17" s="495"/>
      <c r="BJ17" s="441"/>
      <c r="BK17" s="441"/>
      <c r="BL17" s="441"/>
    </row>
    <row r="18" ht="16" customHeight="1">
      <c r="A18" s="470"/>
      <c r="B18" s="479">
        <f>IF('Window &amp; Door DATA INPUT'!B24&gt;1,1,0)</f>
        <v>1</v>
      </c>
      <c r="C18" s="479">
        <f>IF(AND(B18=1,OR(D18='Parameters'!$D$17,D18='Parameters'!$D$18,D18='Parameters'!$D$19,D18='Parameters'!$D$20,D18='Parameters'!$D$21)),1,0)</f>
        <v>1</v>
      </c>
      <c r="D18" t="s" s="480">
        <f>IF('Window &amp; Door DATA INPUT'!B24="","",'Window &amp; Door DATA INPUT'!B24)</f>
        <v>175</v>
      </c>
      <c r="E18" s="481">
        <f>IF('Window &amp; Door DATA INPUT'!D24="","",'Window &amp; Door DATA INPUT'!D24)</f>
        <v>10.9</v>
      </c>
      <c r="F18" t="s" s="480">
        <f>IF(B18=1,'Window &amp; Door DATA INPUT'!H24&amp;'RESULTS'!$H$5,"")</f>
        <v>439</v>
      </c>
      <c r="G18" t="s" s="480">
        <f>IF(B18=1,VLOOKUP(F18,'Parameters'!$H$4:$I$20,2,FALSE),"")</f>
        <v>207</v>
      </c>
      <c r="H18" t="s" s="414">
        <f>IF(OR('Window &amp; Door DATA INPUT'!J24='Parameters'!$K$4,'Window &amp; Door DATA INPUT'!J24='Parameters'!$K$11),"No",IF('Window &amp; Door DATA INPUT'!K24="","",'Window &amp; Door DATA INPUT'!K24))</f>
        <v>138</v>
      </c>
      <c r="I18" t="s" s="414">
        <f>IF('Window &amp; Door DATA INPUT'!J24="","",'Window &amp; Door DATA INPUT'!J24)</f>
        <v>179</v>
      </c>
      <c r="J18" s="482">
        <f>IF('Window &amp; Door DATA INPUT'!L24='Parameters'!$O$5,'Window &amp; Door DATA INPUT'!O24,IF(B18=1,'Window &amp; Door DATA INPUT'!N24*'Window &amp; Door DATA INPUT'!M24,""))</f>
        <v>0.528</v>
      </c>
      <c r="K18" t="s" s="414">
        <f>IF('Window &amp; Door DATA INPUT'!J24="","",VLOOKUP('Window &amp; Door DATA INPUT'!J24,'Parameters'!$K$4:$L$16,2,FALSE))</f>
        <v>413</v>
      </c>
      <c r="L18" s="483">
        <f>IF($H18="yes",IF($K18="Y",'Window &amp; Door DATA INPUT'!Q24,IF($K18="N",'Window &amp; Door DATA INPUT'!P24)),"")</f>
        <v>0.62</v>
      </c>
      <c r="M18" s="483">
        <f>IF($H18="yes",IF($K18="Y",'Window &amp; Door DATA INPUT'!P24,IF($K18="N",'Window &amp; Door DATA INPUT'!Q24)),"")</f>
        <v>1.04</v>
      </c>
      <c r="N18" s="482">
        <f>IF(L18="","",L18*M18)</f>
        <v>0.6448</v>
      </c>
      <c r="O18" t="s" s="414">
        <f>IF(AND(B18=1,C18=0,H18="yes"),"A",IF(AND(C18=1,H18="yes",'Window &amp; Door DATA INPUT'!R24="no"),"B",IF(AND(C18=1,H18="yes",'Window &amp; Door DATA INPUT'!R24="yes",'Window &amp; Door DATA INPUT'!S24="yes"),"C",IF(AND(C18=1,H18="yes",'Window &amp; Door DATA INPUT'!R24="yes",'Window &amp; Door DATA INPUT'!S24="no"),"D",""))))</f>
        <v>250</v>
      </c>
      <c r="P18" t="s" s="414">
        <f>IF(AND(C18=1,H18="yes",OR(I18='Parameters'!$K$12,I18='Parameters'!$K$13,I18='Parameters'!$K$14)),"E",IF(AND(C18=1,H18="yes",NOT(OR(I18='Parameters'!$K$12,I18='Parameters'!$K$13,I18='Parameters'!$K$14))),"F",""))</f>
        <v>414</v>
      </c>
      <c r="Q18" t="s" s="414">
        <f>IF(AND(B18=1,H18="yes"),VLOOKUP(I18,'Parameters'!$K$4:$M$16,3,FALSE),"")</f>
        <v>415</v>
      </c>
      <c r="R18" s="484">
        <f>IF(AND(OR(O18="A",O18="B",O18="d"),Q18="input"),'Window &amp; Door DATA INPUT'!AA24,IF(AND(O18="C",Q18="input"),'Window &amp; Door DATA INPUT'!W24,Q18))</f>
        <v>90</v>
      </c>
      <c r="S18" t="s" s="414">
        <f>IF('Window &amp; Door DATA INPUT'!X24="Yes",'Window &amp; Door DATA INPUT'!Y24/1000,IF(B18=1,"N/A",""))</f>
        <v>416</v>
      </c>
      <c r="T18" t="s" s="480">
        <f>IF(Q18="calc",IF(P18="yes",'Window &amp; Door DATA INPUT'!U24/1000,('Parameters'!$S$4-'Window &amp; Door DATA INPUT'!Z24+'Parameters'!$Q$4)/1000),"")</f>
      </c>
      <c r="U18" t="s" s="480">
        <f>IF(Q18="calc",IF(T18&gt;M18,M18,T18),"")</f>
      </c>
      <c r="V18" t="s" s="480">
        <f>IF(AND(S18&gt;0,S18&lt;U18),S18,U18)</f>
      </c>
      <c r="W18" s="485">
        <f>IF(R18="calc",DEGREES(ASIN(V18/M18)),R18)</f>
        <v>90</v>
      </c>
      <c r="X18" s="483">
        <f>IF(OR($H18="no",$B18=0),"",IF($I18='Parameters'!$K$15,$L18/($M18/2),$L18/$M18))</f>
        <v>0.596153846153846</v>
      </c>
      <c r="Y18" s="483">
        <f>IF(OR($H18="no",$B18=0),"",IF($X18&lt;0.5,'Parameters'!$X$4,IF($X18&lt;1,'Parameters'!$Y$4,IF($X18&lt;2,'Parameters'!$Z$4,'Parameters'!$AA$4))))</f>
        <v>0.0478352593239432</v>
      </c>
      <c r="Z18" s="483">
        <f>IF(OR($H18="no",$B18=0),"",IF($X18&lt;0.5,'Parameters'!$X$5,IF($X18&lt;1,'Parameters'!$Y$5,IF($X18&lt;2,'Parameters'!$Z$5,'Parameters'!$AA$5))))</f>
        <v>0.588607594936709</v>
      </c>
      <c r="AA18" s="483">
        <f>IF(OR($H18="no",$B18=0),"",IF($I18='Parameters'!$K$15,(2*($M18/2)*SIN(RADIANS($W18/2))),(2*$M18*SIN(RADIANS($W18/2)))))</f>
        <v>1.47078210486802</v>
      </c>
      <c r="AB18" s="483">
        <f>IF(OR($H18="no",$B18=0),"",$Z18*(1-EXP(-$Y18*$W18)))</f>
        <v>0.580662248527437</v>
      </c>
      <c r="AC18" s="483">
        <f>IF(OR($H18="no",$B18=0),"",IF($I18='Parameters'!$K$15,$AB18*$N18/2,$AB18*$N18))</f>
        <v>0.374411017850491</v>
      </c>
      <c r="AD18" s="486">
        <f>IF(OR($H18="no",$B18=0),"",IF($I18='Parameters'!$K$15,$AC18*2/'Parameters'!$AB$4,$AC18/'Parameters'!$AB$4))</f>
        <v>0.603888738468534</v>
      </c>
      <c r="AE18" t="s" s="487">
        <f>IF(AND(O18="B",Q18="calc"),V18,IF(AND(O18="C",Q18="calc"),'Window &amp; Door DATA INPUT'!T24/1000,""))</f>
      </c>
      <c r="AF18" s="484">
        <f>IF(AND(O18="B",Q18="input"),'Window &amp; Door DATA INPUT'!AA24,IF(AND(O18="C",Q18="input",P18="F"),'Window &amp; Door DATA INPUT'!V24,IF(AND(O18="C",P18="E"),0,IF(AND(O18="D"),0,IF(AND(B18=1,C18=0),"",(Q18))))))</f>
        <v>12</v>
      </c>
      <c r="AG18" s="485">
        <f>IF(AF18="calc",DEGREES(ASIN(AE18/M18)),AF18)</f>
        <v>12</v>
      </c>
      <c r="AH18" s="483">
        <f>IF(OR($H18="no",$C18=0),"",IF($I18='Parameters'!$K$15,$L18/($M18/2),$L18/$M18))</f>
        <v>0.596153846153846</v>
      </c>
      <c r="AI18" s="483">
        <f>IF(OR($H18="no",$C18=0),"",IF($AH18&lt;0.5,'Parameters'!$X$4,IF($AH18&lt;1,'Parameters'!$Y$4,IF($AH18&lt;2,'Parameters'!$Z$4,'Parameters'!$AA$4))))</f>
        <v>0.0478352593239432</v>
      </c>
      <c r="AJ18" s="483">
        <f>IF(OR($H18="no",$C18=0),"",IF($AH18&lt;0.5,'Parameters'!$X$5,IF($AH18&lt;1,'Parameters'!$Y$5,IF($AH18&lt;2,'Parameters'!$Z$5,'Parameters'!$AA$5))))</f>
        <v>0.588607594936709</v>
      </c>
      <c r="AK18" s="483">
        <f>IF(OR($H18="no",$C18=0),"",IF($I18='Parameters'!$K$15,(2*($M18/2)*SIN(RADIANS($AG18/2))),(2*$M18*SIN(RADIANS($AG18/2)))))</f>
        <v>0.217419203596719</v>
      </c>
      <c r="AL18" s="483">
        <f>IF(OR($H18="no",$C18=0),"",$AJ18*(1-EXP(-$AI18*$AG18)))</f>
        <v>0.257071519941142</v>
      </c>
      <c r="AM18" s="483">
        <f>IF(OR($H18="no",$C18=0),"",IF($I18='Parameters'!$K$15,$AL18*$N18/2,$AL18*$N18))</f>
        <v>0.165759716058048</v>
      </c>
      <c r="AN18" s="486">
        <f>IF(OR($H18="no",$C18=0),"",IF($I18='Parameters'!$K$15,$AM18*2/'Parameters'!$AB$4,$AM18/'Parameters'!$AB$4))</f>
        <v>0.267354380738787</v>
      </c>
      <c r="AO18" s="474"/>
      <c r="AP18" t="s" s="488">
        <f>'Parameters'!D18</f>
        <v>211</v>
      </c>
      <c r="AQ18" s="489">
        <f>IF(ISERROR(VLOOKUP($AP18,$D$4:$E$68,2,FALSE)),0,(VLOOKUP($AP18,$D$4:$E$68,2,FALSE)))</f>
        <v>9.9</v>
      </c>
      <c r="AR18" s="489">
        <f>_xlfn.SUMIFS($J$4:$J$68,$D$4:$D$68,AP18)</f>
        <v>0.528</v>
      </c>
      <c r="AS18" s="490">
        <f>IF(AQ18&gt;0,AR18/AQ18," ")</f>
        <v>0.0533333333333333</v>
      </c>
      <c r="AT18" s="489">
        <f>_xlfn.SUMIFS($AD$4:$AD$68,$D$4:$D$68,AP18)</f>
        <v>0.603888738468534</v>
      </c>
      <c r="AU18" t="s" s="466">
        <f>IF(AR18=$BA$12,AS18,"")</f>
      </c>
      <c r="AV18" s="489">
        <f>_xlfn.SUMIFS($AN$4:$AN$68,$D$4:$D$68,AP18)</f>
        <v>0.451764329932711</v>
      </c>
      <c r="AW18" s="490">
        <f>IF(AQ18&gt;0,AV18/AQ18," ")</f>
        <v>0.0456327605992637</v>
      </c>
      <c r="AX18" s="508"/>
      <c r="AY18" s="441"/>
      <c r="AZ18" s="441"/>
      <c r="BA18" s="441"/>
      <c r="BB18" s="441"/>
      <c r="BC18" s="500"/>
      <c r="BD18" s="506"/>
      <c r="BE18" s="506"/>
      <c r="BF18" s="495"/>
      <c r="BG18" s="495"/>
      <c r="BH18" s="495"/>
      <c r="BI18" s="495"/>
      <c r="BJ18" s="441"/>
      <c r="BK18" s="441"/>
      <c r="BL18" s="441"/>
    </row>
    <row r="19" ht="17" customHeight="1">
      <c r="A19" s="470"/>
      <c r="B19" s="479">
        <f>IF('Window &amp; Door DATA INPUT'!B25&gt;1,1,0)</f>
        <v>1</v>
      </c>
      <c r="C19" s="479">
        <f>IF(AND(B19=1,OR(D19='Parameters'!$D$17,D19='Parameters'!$D$18,D19='Parameters'!$D$19,D19='Parameters'!$D$20,D19='Parameters'!$D$21)),1,0)</f>
        <v>0</v>
      </c>
      <c r="D19" t="s" s="480">
        <f>IF('Window &amp; Door DATA INPUT'!B25="","",'Window &amp; Door DATA INPUT'!B25)</f>
        <v>197</v>
      </c>
      <c r="E19" s="481">
        <f>IF('Window &amp; Door DATA INPUT'!D25="","",'Window &amp; Door DATA INPUT'!D25)</f>
        <v>34.002</v>
      </c>
      <c r="F19" t="s" s="480">
        <f>IF(B19=1,'Window &amp; Door DATA INPUT'!H25&amp;'RESULTS'!$H$5,"")</f>
        <v>439</v>
      </c>
      <c r="G19" t="s" s="480">
        <f>IF(B19=1,VLOOKUP(F19,'Parameters'!$H$4:$I$20,2,FALSE),"")</f>
        <v>207</v>
      </c>
      <c r="H19" t="s" s="414">
        <f>IF(OR('Window &amp; Door DATA INPUT'!J25='Parameters'!$K$4,'Window &amp; Door DATA INPUT'!J25='Parameters'!$K$11),"No",IF('Window &amp; Door DATA INPUT'!K25="","",'Window &amp; Door DATA INPUT'!K25))</f>
        <v>138</v>
      </c>
      <c r="I19" t="s" s="414">
        <f>IF('Window &amp; Door DATA INPUT'!J25="","",'Window &amp; Door DATA INPUT'!J25)</f>
        <v>215</v>
      </c>
      <c r="J19" s="482">
        <f>IF('Window &amp; Door DATA INPUT'!L25='Parameters'!$O$5,'Window &amp; Door DATA INPUT'!O25,IF(B19=1,'Window &amp; Door DATA INPUT'!N25*'Window &amp; Door DATA INPUT'!M25,""))</f>
        <v>0.7448</v>
      </c>
      <c r="K19" t="s" s="414">
        <f>IF('Window &amp; Door DATA INPUT'!J25="","",VLOOKUP('Window &amp; Door DATA INPUT'!J25,'Parameters'!$K$4:$L$16,2,FALSE))</f>
        <v>427</v>
      </c>
      <c r="L19" s="483">
        <f>IF($H19="yes",IF($K19="Y",'Window &amp; Door DATA INPUT'!Q25,IF($K19="N",'Window &amp; Door DATA INPUT'!P25)),"")</f>
        <v>0.887</v>
      </c>
      <c r="M19" s="483">
        <f>IF($H19="yes",IF($K19="Y",'Window &amp; Door DATA INPUT'!P25,IF($K19="N",'Window &amp; Door DATA INPUT'!Q25)),"")</f>
        <v>1.119</v>
      </c>
      <c r="N19" s="482">
        <f>IF(L19="","",L19*M19)</f>
        <v>0.992553</v>
      </c>
      <c r="O19" t="s" s="414">
        <f>IF(AND(B19=1,C19=0,H19="yes"),"A",IF(AND(C19=1,H19="yes",'Window &amp; Door DATA INPUT'!R25="no"),"B",IF(AND(C19=1,H19="yes",'Window &amp; Door DATA INPUT'!R25="yes",'Window &amp; Door DATA INPUT'!S25="yes"),"C",IF(AND(C19=1,H19="yes",'Window &amp; Door DATA INPUT'!R25="yes",'Window &amp; Door DATA INPUT'!S25="no"),"D",""))))</f>
        <v>230</v>
      </c>
      <c r="P19" t="s" s="414">
        <f>IF(AND(C19=1,H19="yes",OR(I19='Parameters'!$K$12,I19='Parameters'!$K$13,I19='Parameters'!$K$14)),"E",IF(AND(C19=1,H19="yes",NOT(OR(I19='Parameters'!$K$12,I19='Parameters'!$K$13,I19='Parameters'!$K$14))),"F",""))</f>
      </c>
      <c r="Q19" t="s" s="414">
        <f>IF(AND(B19=1,H19="yes"),VLOOKUP(I19,'Parameters'!$K$4:$M$16,3,FALSE),"")</f>
        <v>415</v>
      </c>
      <c r="R19" s="484">
        <f>IF(AND(OR(O19="A",O19="B",O19="d"),Q19="input"),'Window &amp; Door DATA INPUT'!AA25,IF(AND(O19="C",Q19="input"),'Window &amp; Door DATA INPUT'!W25,Q19))</f>
        <v>90</v>
      </c>
      <c r="S19" t="s" s="414">
        <f>IF('Window &amp; Door DATA INPUT'!X25="Yes",'Window &amp; Door DATA INPUT'!Y25/1000,IF(B19=1,"N/A",""))</f>
        <v>416</v>
      </c>
      <c r="T19" t="s" s="480">
        <f>IF(Q19="calc",IF(P19="yes",'Window &amp; Door DATA INPUT'!U25/1000,('Parameters'!$S$4-'Window &amp; Door DATA INPUT'!Z25+'Parameters'!$Q$4)/1000),"")</f>
      </c>
      <c r="U19" t="s" s="480">
        <f>IF(Q19="calc",IF(T19&gt;M19,M19,T19),"")</f>
      </c>
      <c r="V19" t="s" s="480">
        <f>IF(AND(S19&gt;0,S19&lt;U19),S19,U19)</f>
      </c>
      <c r="W19" s="485">
        <f>IF(R19="calc",DEGREES(ASIN(V19/M19)),R19)</f>
        <v>90</v>
      </c>
      <c r="X19" s="483">
        <f>IF(OR($H19="no",$B19=0),"",IF($I19='Parameters'!$K$15,$L19/($M19/2),$L19/$M19))</f>
        <v>1.58534405719392</v>
      </c>
      <c r="Y19" s="483">
        <f>IF(OR($H19="no",$B19=0),"",IF($X19&lt;0.5,'Parameters'!$X$4,IF($X19&lt;1,'Parameters'!$Y$4,IF($X19&lt;2,'Parameters'!$Z$4,'Parameters'!$AA$4))))</f>
        <v>0.0404635490792875</v>
      </c>
      <c r="Z19" s="483">
        <f>IF(OR($H19="no",$B19=0),"",IF($X19&lt;0.5,'Parameters'!$X$5,IF($X19&lt;1,'Parameters'!$Y$5,IF($X19&lt;2,'Parameters'!$Z$5,'Parameters'!$AA$5))))</f>
        <v>0.5625</v>
      </c>
      <c r="AA19" s="483">
        <f>IF(OR($H19="no",$B19=0),"",IF($I19='Parameters'!$K$15,(2*($M19/2)*SIN(RADIANS($W19/2))),(2*$M19*SIN(RADIANS($W19/2)))))</f>
        <v>0.791252488147747</v>
      </c>
      <c r="AB19" s="483">
        <f>IF(OR($H19="no",$B19=0),"",$Z19*(1-EXP(-$Y19*$W19)))</f>
        <v>0.54775842523901</v>
      </c>
      <c r="AC19" s="483">
        <f>IF(OR($H19="no",$B19=0),"",IF($I19='Parameters'!$K$15,$AB19*$N19/2,$AB19*$N19))</f>
        <v>0.271839634123128</v>
      </c>
      <c r="AD19" s="486">
        <f>IF(OR($H19="no",$B19=0),"",IF($I19='Parameters'!$K$15,$AC19*2/'Parameters'!$AB$4,$AC19/'Parameters'!$AB$4))</f>
        <v>0.876902045558477</v>
      </c>
      <c r="AE19" t="s" s="487">
        <f>IF(AND(O19="B",Q19="calc"),V19,IF(AND(O19="C",Q19="calc"),'Window &amp; Door DATA INPUT'!T25/1000,""))</f>
      </c>
      <c r="AF19" t="s" s="414">
        <f>IF(AND(O19="B",Q19="input"),'Window &amp; Door DATA INPUT'!AA25,IF(AND(O19="C",Q19="input",P19="F"),'Window &amp; Door DATA INPUT'!V25,IF(AND(O19="C",P19="E"),0,IF(AND(O19="D"),0,IF(AND(B19=1,C19=0),"",(Q19))))))</f>
      </c>
      <c r="AG19" t="s" s="496">
        <f>IF(AF19="calc",DEGREES(ASIN(AE19/M19)),AF19)</f>
      </c>
      <c r="AH19" t="s" s="480">
        <f>IF(OR($H19="no",$C19=0),"",IF($I19='Parameters'!$K$15,$L19/($M19/2),$L19/$M19))</f>
      </c>
      <c r="AI19" t="s" s="480">
        <f>IF(OR($H19="no",$C19=0),"",IF($AH19&lt;0.5,'Parameters'!$X$4,IF($AH19&lt;1,'Parameters'!$Y$4,IF($AH19&lt;2,'Parameters'!$Z$4,'Parameters'!$AA$4))))</f>
      </c>
      <c r="AJ19" t="s" s="480">
        <f>IF(OR($H19="no",$C19=0),"",IF($AH19&lt;0.5,'Parameters'!$X$5,IF($AH19&lt;1,'Parameters'!$Y$5,IF($AH19&lt;2,'Parameters'!$Z$5,'Parameters'!$AA$5))))</f>
      </c>
      <c r="AK19" t="s" s="480">
        <f>IF(OR($H19="no",$C19=0),"",IF($I19='Parameters'!$K$15,(2*($M19/2)*SIN(RADIANS($AG19/2))),(2*$M19*SIN(RADIANS($AG19/2)))))</f>
      </c>
      <c r="AL19" t="s" s="480">
        <f>IF(OR($H19="no",$C19=0),"",$AJ19*(1-EXP(-$AI19*$AG19)))</f>
      </c>
      <c r="AM19" t="s" s="480">
        <f>IF(OR($H19="no",$C19=0),"",IF($I19='Parameters'!$K$15,$AL19*$N19/2,$AL19*$N19))</f>
      </c>
      <c r="AN19" t="s" s="497">
        <f>IF(OR($H19="no",$C19=0),"",IF($I19='Parameters'!$K$15,$AM19*2/'Parameters'!$AB$4,$AM19/'Parameters'!$AB$4))</f>
      </c>
      <c r="AO19" s="474"/>
      <c r="AP19" t="s" s="488">
        <f>'Parameters'!D19</f>
        <v>190</v>
      </c>
      <c r="AQ19" s="489">
        <f>IF(ISERROR(VLOOKUP($AP19,$D$4:$E$68,2,FALSE)),0,(VLOOKUP($AP19,$D$4:$E$68,2,FALSE)))</f>
        <v>17.9</v>
      </c>
      <c r="AR19" s="489">
        <f>_xlfn.SUMIFS($J$4:$J$68,$D$4:$D$68,AP19)</f>
        <v>1.575</v>
      </c>
      <c r="AS19" s="490">
        <f>IF(AQ19&gt;0,AR19/AQ19," ")</f>
        <v>0.0879888268156425</v>
      </c>
      <c r="AT19" s="489">
        <f>_xlfn.SUMIFS($AD$4:$AD$68,$D$4:$D$68,AP19)</f>
        <v>1.65657320192795</v>
      </c>
      <c r="AU19" t="s" s="466">
        <f>IF(AR19=$BA$12,AS19,"")</f>
      </c>
      <c r="AV19" s="489">
        <f>_xlfn.SUMIFS($AN$4:$AN$68,$D$4:$D$68,AP19)</f>
        <v>0.859844082477397</v>
      </c>
      <c r="AW19" s="490">
        <f>IF(AQ19&gt;0,AV19/AQ19," ")</f>
        <v>0.0480359822613071</v>
      </c>
      <c r="AX19" s="508"/>
      <c r="AY19" s="441"/>
      <c r="AZ19" s="441"/>
      <c r="BA19" s="441"/>
      <c r="BB19" s="441"/>
      <c r="BC19" t="s" s="509">
        <v>444</v>
      </c>
      <c r="BD19" t="s" s="466">
        <v>307</v>
      </c>
      <c r="BE19" t="s" s="466">
        <v>433</v>
      </c>
      <c r="BF19" s="507"/>
      <c r="BG19" s="495"/>
      <c r="BH19" s="495"/>
      <c r="BI19" s="495"/>
      <c r="BJ19" s="441"/>
      <c r="BK19" s="441"/>
      <c r="BL19" s="441"/>
    </row>
    <row r="20" ht="16" customHeight="1">
      <c r="A20" s="470"/>
      <c r="B20" s="479">
        <f>IF('Window &amp; Door DATA INPUT'!B26&gt;1,1,0)</f>
        <v>1</v>
      </c>
      <c r="C20" s="479">
        <f>IF(AND(B20=1,OR(D20='Parameters'!$D$17,D20='Parameters'!$D$18,D20='Parameters'!$D$19,D20='Parameters'!$D$20,D20='Parameters'!$D$21)),1,0)</f>
        <v>0</v>
      </c>
      <c r="D20" t="s" s="480">
        <f>IF('Window &amp; Door DATA INPUT'!B26="","",'Window &amp; Door DATA INPUT'!B26)</f>
        <v>197</v>
      </c>
      <c r="E20" s="481">
        <f>IF('Window &amp; Door DATA INPUT'!D26="","",'Window &amp; Door DATA INPUT'!D26)</f>
        <v>34.002</v>
      </c>
      <c r="F20" t="s" s="480">
        <f>IF(B20=1,'Window &amp; Door DATA INPUT'!H26&amp;'RESULTS'!$H$5,"")</f>
        <v>439</v>
      </c>
      <c r="G20" t="s" s="480">
        <f>IF(B20=1,VLOOKUP(F20,'Parameters'!$H$4:$I$20,2,FALSE),"")</f>
        <v>207</v>
      </c>
      <c r="H20" t="s" s="414">
        <f>IF(OR('Window &amp; Door DATA INPUT'!J26='Parameters'!$K$4,'Window &amp; Door DATA INPUT'!J26='Parameters'!$K$11),"No",IF('Window &amp; Door DATA INPUT'!K26="","",'Window &amp; Door DATA INPUT'!K26))</f>
        <v>138</v>
      </c>
      <c r="I20" t="s" s="414">
        <f>IF('Window &amp; Door DATA INPUT'!J26="","",'Window &amp; Door DATA INPUT'!J26)</f>
        <v>215</v>
      </c>
      <c r="J20" s="482">
        <f>IF('Window &amp; Door DATA INPUT'!L26='Parameters'!$O$5,'Window &amp; Door DATA INPUT'!O26,IF(B20=1,'Window &amp; Door DATA INPUT'!N26*'Window &amp; Door DATA INPUT'!M26,""))</f>
        <v>0.7448</v>
      </c>
      <c r="K20" t="s" s="414">
        <f>IF('Window &amp; Door DATA INPUT'!J26="","",VLOOKUP('Window &amp; Door DATA INPUT'!J26,'Parameters'!$K$4:$L$16,2,FALSE))</f>
        <v>427</v>
      </c>
      <c r="L20" s="483">
        <f>IF($H20="yes",IF($K20="Y",'Window &amp; Door DATA INPUT'!Q26,IF($K20="N",'Window &amp; Door DATA INPUT'!P26)),"")</f>
        <v>0.887</v>
      </c>
      <c r="M20" s="483">
        <f>IF($H20="yes",IF($K20="Y",'Window &amp; Door DATA INPUT'!P26,IF($K20="N",'Window &amp; Door DATA INPUT'!Q26)),"")</f>
        <v>1.119</v>
      </c>
      <c r="N20" s="482">
        <f>IF(L20="","",L20*M20)</f>
        <v>0.992553</v>
      </c>
      <c r="O20" t="s" s="414">
        <f>IF(AND(B20=1,C20=0,H20="yes"),"A",IF(AND(C20=1,H20="yes",'Window &amp; Door DATA INPUT'!R26="no"),"B",IF(AND(C20=1,H20="yes",'Window &amp; Door DATA INPUT'!R26="yes",'Window &amp; Door DATA INPUT'!S26="yes"),"C",IF(AND(C20=1,H20="yes",'Window &amp; Door DATA INPUT'!R26="yes",'Window &amp; Door DATA INPUT'!S26="no"),"D",""))))</f>
        <v>230</v>
      </c>
      <c r="P20" t="s" s="414">
        <f>IF(AND(C20=1,H20="yes",OR(I20='Parameters'!$K$12,I20='Parameters'!$K$13,I20='Parameters'!$K$14)),"E",IF(AND(C20=1,H20="yes",NOT(OR(I20='Parameters'!$K$12,I20='Parameters'!$K$13,I20='Parameters'!$K$14))),"F",""))</f>
      </c>
      <c r="Q20" t="s" s="414">
        <f>IF(AND(B20=1,H20="yes"),VLOOKUP(I20,'Parameters'!$K$4:$M$16,3,FALSE),"")</f>
        <v>415</v>
      </c>
      <c r="R20" s="484">
        <f>IF(AND(OR(O20="A",O20="B",O20="d"),Q20="input"),'Window &amp; Door DATA INPUT'!AA26,IF(AND(O20="C",Q20="input"),'Window &amp; Door DATA INPUT'!W26,Q20))</f>
        <v>90</v>
      </c>
      <c r="S20" t="s" s="414">
        <f>IF('Window &amp; Door DATA INPUT'!X26="Yes",'Window &amp; Door DATA INPUT'!Y26/1000,IF(B20=1,"N/A",""))</f>
        <v>416</v>
      </c>
      <c r="T20" t="s" s="480">
        <f>IF(Q20="calc",IF(P20="yes",'Window &amp; Door DATA INPUT'!U26/1000,('Parameters'!$S$4-'Window &amp; Door DATA INPUT'!Z26+'Parameters'!$Q$4)/1000),"")</f>
      </c>
      <c r="U20" t="s" s="480">
        <f>IF(Q20="calc",IF(T20&gt;M20,M20,T20),"")</f>
      </c>
      <c r="V20" t="s" s="480">
        <f>IF(AND(S20&gt;0,S20&lt;U20),S20,U20)</f>
      </c>
      <c r="W20" s="485">
        <f>IF(R20="calc",DEGREES(ASIN(V20/M20)),R20)</f>
        <v>90</v>
      </c>
      <c r="X20" s="483">
        <f>IF(OR($H20="no",$B20=0),"",IF($I20='Parameters'!$K$15,$L20/($M20/2),$L20/$M20))</f>
        <v>1.58534405719392</v>
      </c>
      <c r="Y20" s="483">
        <f>IF(OR($H20="no",$B20=0),"",IF($X20&lt;0.5,'Parameters'!$X$4,IF($X20&lt;1,'Parameters'!$Y$4,IF($X20&lt;2,'Parameters'!$Z$4,'Parameters'!$AA$4))))</f>
        <v>0.0404635490792875</v>
      </c>
      <c r="Z20" s="483">
        <f>IF(OR($H20="no",$B20=0),"",IF($X20&lt;0.5,'Parameters'!$X$5,IF($X20&lt;1,'Parameters'!$Y$5,IF($X20&lt;2,'Parameters'!$Z$5,'Parameters'!$AA$5))))</f>
        <v>0.5625</v>
      </c>
      <c r="AA20" s="483">
        <f>IF(OR($H20="no",$B20=0),"",IF($I20='Parameters'!$K$15,(2*($M20/2)*SIN(RADIANS($W20/2))),(2*$M20*SIN(RADIANS($W20/2)))))</f>
        <v>0.791252488147747</v>
      </c>
      <c r="AB20" s="483">
        <f>IF(OR($H20="no",$B20=0),"",$Z20*(1-EXP(-$Y20*$W20)))</f>
        <v>0.54775842523901</v>
      </c>
      <c r="AC20" s="483">
        <f>IF(OR($H20="no",$B20=0),"",IF($I20='Parameters'!$K$15,$AB20*$N20/2,$AB20*$N20))</f>
        <v>0.271839634123128</v>
      </c>
      <c r="AD20" s="486">
        <f>IF(OR($H20="no",$B20=0),"",IF($I20='Parameters'!$K$15,$AC20*2/'Parameters'!$AB$4,$AC20/'Parameters'!$AB$4))</f>
        <v>0.876902045558477</v>
      </c>
      <c r="AE20" t="s" s="487">
        <f>IF(AND(O20="B",Q20="calc"),V20,IF(AND(O20="C",Q20="calc"),'Window &amp; Door DATA INPUT'!T26/1000,""))</f>
      </c>
      <c r="AF20" t="s" s="414">
        <f>IF(AND(O20="B",Q20="input"),'Window &amp; Door DATA INPUT'!AA26,IF(AND(O20="C",Q20="input",P20="F"),'Window &amp; Door DATA INPUT'!V26,IF(AND(O20="C",P20="E"),0,IF(AND(O20="D"),0,IF(AND(B20=1,C20=0),"",(Q20))))))</f>
      </c>
      <c r="AG20" t="s" s="496">
        <f>IF(AF20="calc",DEGREES(ASIN(AE20/M20)),AF20)</f>
      </c>
      <c r="AH20" t="s" s="480">
        <f>IF(OR($H20="no",$C20=0),"",IF($I20='Parameters'!$K$15,$L20/($M20/2),$L20/$M20))</f>
      </c>
      <c r="AI20" t="s" s="480">
        <f>IF(OR($H20="no",$C20=0),"",IF($AH20&lt;0.5,'Parameters'!$X$4,IF($AH20&lt;1,'Parameters'!$Y$4,IF($AH20&lt;2,'Parameters'!$Z$4,'Parameters'!$AA$4))))</f>
      </c>
      <c r="AJ20" t="s" s="480">
        <f>IF(OR($H20="no",$C20=0),"",IF($AH20&lt;0.5,'Parameters'!$X$5,IF($AH20&lt;1,'Parameters'!$Y$5,IF($AH20&lt;2,'Parameters'!$Z$5,'Parameters'!$AA$5))))</f>
      </c>
      <c r="AK20" t="s" s="480">
        <f>IF(OR($H20="no",$C20=0),"",IF($I20='Parameters'!$K$15,(2*($M20/2)*SIN(RADIANS($AG20/2))),(2*$M20*SIN(RADIANS($AG20/2)))))</f>
      </c>
      <c r="AL20" t="s" s="480">
        <f>IF(OR($H20="no",$C20=0),"",$AJ20*(1-EXP(-$AI20*$AG20)))</f>
      </c>
      <c r="AM20" t="s" s="480">
        <f>IF(OR($H20="no",$C20=0),"",IF($I20='Parameters'!$K$15,$AL20*$N20/2,$AL20*$N20))</f>
      </c>
      <c r="AN20" t="s" s="497">
        <f>IF(OR($H20="no",$C20=0),"",IF($I20='Parameters'!$K$15,$AM20*2/'Parameters'!$AB$4,$AM20/'Parameters'!$AB$4))</f>
      </c>
      <c r="AO20" s="474"/>
      <c r="AP20" t="s" s="488">
        <f>'Parameters'!D20</f>
        <v>445</v>
      </c>
      <c r="AQ20" s="489">
        <f>IF(ISERROR(VLOOKUP($AP20,$D$4:$E$68,2,FALSE)),0,(VLOOKUP($AP20,$D$4:$E$68,2,FALSE)))</f>
        <v>0</v>
      </c>
      <c r="AR20" s="489">
        <f>_xlfn.SUMIFS($J$4:$J$68,$D$4:$D$68,AP20)</f>
        <v>0</v>
      </c>
      <c r="AS20" t="s" s="466">
        <f>IF(AQ20&gt;0,AR20/AQ20," ")</f>
        <v>421</v>
      </c>
      <c r="AT20" s="489">
        <f>_xlfn.SUMIFS($AD$4:$AD$68,$D$4:$D$68,AP20)</f>
        <v>0</v>
      </c>
      <c r="AU20" t="s" s="466">
        <f>IF(AR20=$BA$12,AS20,"")</f>
      </c>
      <c r="AV20" s="489">
        <f>_xlfn.SUMIFS($AN$4:$AN$68,$D$4:$D$68,AP20)</f>
        <v>0</v>
      </c>
      <c r="AW20" t="s" s="466">
        <f>IF(AQ20&gt;0,AV20/AQ20," ")</f>
        <v>421</v>
      </c>
      <c r="AX20" s="508"/>
      <c r="AY20" s="441"/>
      <c r="AZ20" s="441"/>
      <c r="BA20" s="441"/>
      <c r="BB20" s="470"/>
      <c r="BC20" t="s" s="488">
        <v>175</v>
      </c>
      <c r="BD20" s="501">
        <f>IF(AV17&gt;0,AV17,"")</f>
        <v>0.534708761477574</v>
      </c>
      <c r="BE20" s="504">
        <f>IF(AV17&gt;0,AW17*100,"")</f>
        <v>4.90558496768417</v>
      </c>
      <c r="BF20" s="468"/>
      <c r="BG20" s="441"/>
      <c r="BH20" s="441"/>
      <c r="BI20" s="441"/>
      <c r="BJ20" s="441"/>
      <c r="BK20" s="441"/>
      <c r="BL20" s="441"/>
    </row>
    <row r="21" ht="16" customHeight="1">
      <c r="A21" s="470"/>
      <c r="B21" s="479">
        <f>IF('Window &amp; Door DATA INPUT'!B27&gt;1,1,0)</f>
        <v>1</v>
      </c>
      <c r="C21" s="479">
        <f>IF(AND(B21=1,OR(D21='Parameters'!$D$17,D21='Parameters'!$D$18,D21='Parameters'!$D$19,D21='Parameters'!$D$20,D21='Parameters'!$D$21)),1,0)</f>
        <v>0</v>
      </c>
      <c r="D21" t="s" s="480">
        <f>IF('Window &amp; Door DATA INPUT'!B27="","",'Window &amp; Door DATA INPUT'!B27)</f>
        <v>208</v>
      </c>
      <c r="E21" s="481">
        <f>IF('Window &amp; Door DATA INPUT'!D27="","",'Window &amp; Door DATA INPUT'!D27)</f>
        <v>7.7449</v>
      </c>
      <c r="F21" t="s" s="480">
        <f>IF(B21=1,'Window &amp; Door DATA INPUT'!H27&amp;'RESULTS'!$H$5,"")</f>
        <v>439</v>
      </c>
      <c r="G21" t="s" s="480">
        <f>IF(B21=1,VLOOKUP(F21,'Parameters'!$H$4:$I$20,2,FALSE),"")</f>
        <v>207</v>
      </c>
      <c r="H21" t="s" s="414">
        <f>IF(OR('Window &amp; Door DATA INPUT'!J27='Parameters'!$K$4,'Window &amp; Door DATA INPUT'!J27='Parameters'!$K$11),"No",IF('Window &amp; Door DATA INPUT'!K27="","",'Window &amp; Door DATA INPUT'!K27))</f>
        <v>138</v>
      </c>
      <c r="I21" t="s" s="414">
        <f>IF('Window &amp; Door DATA INPUT'!J27="","",'Window &amp; Door DATA INPUT'!J27)</f>
        <v>215</v>
      </c>
      <c r="J21" s="482">
        <f>IF('Window &amp; Door DATA INPUT'!L27='Parameters'!$O$5,'Window &amp; Door DATA INPUT'!O27,IF(B21=1,'Window &amp; Door DATA INPUT'!N27*'Window &amp; Door DATA INPUT'!M27,""))</f>
        <v>0.7448</v>
      </c>
      <c r="K21" t="s" s="414">
        <f>IF('Window &amp; Door DATA INPUT'!J27="","",VLOOKUP('Window &amp; Door DATA INPUT'!J27,'Parameters'!$K$4:$L$16,2,FALSE))</f>
        <v>427</v>
      </c>
      <c r="L21" s="483">
        <f>IF($H21="yes",IF($K21="Y",'Window &amp; Door DATA INPUT'!Q27,IF($K21="N",'Window &amp; Door DATA INPUT'!P27)),"")</f>
        <v>0.887</v>
      </c>
      <c r="M21" s="483">
        <f>IF($H21="yes",IF($K21="Y",'Window &amp; Door DATA INPUT'!P27,IF($K21="N",'Window &amp; Door DATA INPUT'!Q27)),"")</f>
        <v>1.119</v>
      </c>
      <c r="N21" s="482">
        <f>IF(L21="","",L21*M21)</f>
        <v>0.992553</v>
      </c>
      <c r="O21" t="s" s="414">
        <f>IF(AND(B21=1,C21=0,H21="yes"),"A",IF(AND(C21=1,H21="yes",'Window &amp; Door DATA INPUT'!R27="no"),"B",IF(AND(C21=1,H21="yes",'Window &amp; Door DATA INPUT'!R27="yes",'Window &amp; Door DATA INPUT'!S27="yes"),"C",IF(AND(C21=1,H21="yes",'Window &amp; Door DATA INPUT'!R27="yes",'Window &amp; Door DATA INPUT'!S27="no"),"D",""))))</f>
        <v>230</v>
      </c>
      <c r="P21" t="s" s="414">
        <f>IF(AND(C21=1,H21="yes",OR(I21='Parameters'!$K$12,I21='Parameters'!$K$13,I21='Parameters'!$K$14)),"E",IF(AND(C21=1,H21="yes",NOT(OR(I21='Parameters'!$K$12,I21='Parameters'!$K$13,I21='Parameters'!$K$14))),"F",""))</f>
      </c>
      <c r="Q21" t="s" s="414">
        <f>IF(AND(B21=1,H21="yes"),VLOOKUP(I21,'Parameters'!$K$4:$M$16,3,FALSE),"")</f>
        <v>415</v>
      </c>
      <c r="R21" s="484">
        <f>IF(AND(OR(O21="A",O21="B",O21="d"),Q21="input"),'Window &amp; Door DATA INPUT'!AA27,IF(AND(O21="C",Q21="input"),'Window &amp; Door DATA INPUT'!W27,Q21))</f>
        <v>90</v>
      </c>
      <c r="S21" t="s" s="414">
        <f>IF('Window &amp; Door DATA INPUT'!X27="Yes",'Window &amp; Door DATA INPUT'!Y27/1000,IF(B21=1,"N/A",""))</f>
        <v>416</v>
      </c>
      <c r="T21" t="s" s="480">
        <f>IF(Q21="calc",IF(P21="yes",'Window &amp; Door DATA INPUT'!U27/1000,('Parameters'!$S$4-'Window &amp; Door DATA INPUT'!Z27+'Parameters'!$Q$4)/1000),"")</f>
      </c>
      <c r="U21" t="s" s="480">
        <f>IF(Q21="calc",IF(T21&gt;M21,M21,T21),"")</f>
      </c>
      <c r="V21" t="s" s="480">
        <f>IF(AND(S21&gt;0,S21&lt;U21),S21,U21)</f>
      </c>
      <c r="W21" s="485">
        <f>IF(R21="calc",DEGREES(ASIN(V21/M21)),R21)</f>
        <v>90</v>
      </c>
      <c r="X21" s="483">
        <f>IF(OR($H21="no",$B21=0),"",IF($I21='Parameters'!$K$15,$L21/($M21/2),$L21/$M21))</f>
        <v>1.58534405719392</v>
      </c>
      <c r="Y21" s="483">
        <f>IF(OR($H21="no",$B21=0),"",IF($X21&lt;0.5,'Parameters'!$X$4,IF($X21&lt;1,'Parameters'!$Y$4,IF($X21&lt;2,'Parameters'!$Z$4,'Parameters'!$AA$4))))</f>
        <v>0.0404635490792875</v>
      </c>
      <c r="Z21" s="483">
        <f>IF(OR($H21="no",$B21=0),"",IF($X21&lt;0.5,'Parameters'!$X$5,IF($X21&lt;1,'Parameters'!$Y$5,IF($X21&lt;2,'Parameters'!$Z$5,'Parameters'!$AA$5))))</f>
        <v>0.5625</v>
      </c>
      <c r="AA21" s="483">
        <f>IF(OR($H21="no",$B21=0),"",IF($I21='Parameters'!$K$15,(2*($M21/2)*SIN(RADIANS($W21/2))),(2*$M21*SIN(RADIANS($W21/2)))))</f>
        <v>0.791252488147747</v>
      </c>
      <c r="AB21" s="483">
        <f>IF(OR($H21="no",$B21=0),"",$Z21*(1-EXP(-$Y21*$W21)))</f>
        <v>0.54775842523901</v>
      </c>
      <c r="AC21" s="483">
        <f>IF(OR($H21="no",$B21=0),"",IF($I21='Parameters'!$K$15,$AB21*$N21/2,$AB21*$N21))</f>
        <v>0.271839634123128</v>
      </c>
      <c r="AD21" s="486">
        <f>IF(OR($H21="no",$B21=0),"",IF($I21='Parameters'!$K$15,$AC21*2/'Parameters'!$AB$4,$AC21/'Parameters'!$AB$4))</f>
        <v>0.876902045558477</v>
      </c>
      <c r="AE21" t="s" s="487">
        <f>IF(AND(O21="B",Q21="calc"),V21,IF(AND(O21="C",Q21="calc"),'Window &amp; Door DATA INPUT'!T27/1000,""))</f>
      </c>
      <c r="AF21" t="s" s="414">
        <f>IF(AND(O21="B",Q21="input"),'Window &amp; Door DATA INPUT'!AA27,IF(AND(O21="C",Q21="input",P21="F"),'Window &amp; Door DATA INPUT'!V27,IF(AND(O21="C",P21="E"),0,IF(AND(O21="D"),0,IF(AND(B21=1,C21=0),"",(Q21))))))</f>
      </c>
      <c r="AG21" t="s" s="496">
        <f>IF(AF21="calc",DEGREES(ASIN(AE21/M21)),AF21)</f>
      </c>
      <c r="AH21" t="s" s="480">
        <f>IF(OR($H21="no",$C21=0),"",IF($I21='Parameters'!$K$15,$L21/($M21/2),$L21/$M21))</f>
      </c>
      <c r="AI21" t="s" s="480">
        <f>IF(OR($H21="no",$C21=0),"",IF($AH21&lt;0.5,'Parameters'!$X$4,IF($AH21&lt;1,'Parameters'!$Y$4,IF($AH21&lt;2,'Parameters'!$Z$4,'Parameters'!$AA$4))))</f>
      </c>
      <c r="AJ21" t="s" s="480">
        <f>IF(OR($H21="no",$C21=0),"",IF($AH21&lt;0.5,'Parameters'!$X$5,IF($AH21&lt;1,'Parameters'!$Y$5,IF($AH21&lt;2,'Parameters'!$Z$5,'Parameters'!$AA$5))))</f>
      </c>
      <c r="AK21" t="s" s="480">
        <f>IF(OR($H21="no",$C21=0),"",IF($I21='Parameters'!$K$15,(2*($M21/2)*SIN(RADIANS($AG21/2))),(2*$M21*SIN(RADIANS($AG21/2)))))</f>
      </c>
      <c r="AL21" t="s" s="480">
        <f>IF(OR($H21="no",$C21=0),"",$AJ21*(1-EXP(-$AI21*$AG21)))</f>
      </c>
      <c r="AM21" t="s" s="480">
        <f>IF(OR($H21="no",$C21=0),"",IF($I21='Parameters'!$K$15,$AL21*$N21/2,$AL21*$N21))</f>
      </c>
      <c r="AN21" t="s" s="497">
        <f>IF(OR($H21="no",$C21=0),"",IF($I21='Parameters'!$K$15,$AM21*2/'Parameters'!$AB$4,$AM21/'Parameters'!$AB$4))</f>
      </c>
      <c r="AO21" s="474"/>
      <c r="AP21" t="s" s="488">
        <f>'Parameters'!D21</f>
        <v>446</v>
      </c>
      <c r="AQ21" s="489">
        <f>IF(ISERROR(VLOOKUP($AP21,$D$4:$E$68,2,FALSE)),0,(VLOOKUP($AP21,$D$4:$E$68,2,FALSE)))</f>
        <v>0</v>
      </c>
      <c r="AR21" s="489">
        <f>_xlfn.SUMIFS($J$4:$J$68,$D$4:$D$68,AP21)</f>
        <v>0</v>
      </c>
      <c r="AS21" t="s" s="466">
        <f>IF(AQ21&gt;0,AR21/AQ21," ")</f>
        <v>421</v>
      </c>
      <c r="AT21" s="489">
        <f>_xlfn.SUMIFS($AD$4:$AD$68,$D$4:$D$68,AP21)</f>
        <v>0</v>
      </c>
      <c r="AU21" t="s" s="466">
        <f>IF(AR21=$BA$12,AS21,"")</f>
      </c>
      <c r="AV21" s="489">
        <f>_xlfn.SUMIFS($AN$4:$AN$68,$D$4:$D$68,AP21)</f>
        <v>0</v>
      </c>
      <c r="AW21" t="s" s="466">
        <f>IF(AQ21&gt;0,AV21/AQ21," ")</f>
        <v>421</v>
      </c>
      <c r="AX21" s="508"/>
      <c r="AY21" s="441"/>
      <c r="AZ21" s="441"/>
      <c r="BA21" s="441"/>
      <c r="BB21" s="470"/>
      <c r="BC21" t="s" s="488">
        <v>211</v>
      </c>
      <c r="BD21" s="501">
        <f>IF(AV18&gt;0,AV18,"")</f>
        <v>0.451764329932711</v>
      </c>
      <c r="BE21" s="504">
        <f>IF(AV18&gt;0,AW18*100,"")</f>
        <v>4.56327605992637</v>
      </c>
      <c r="BF21" s="468"/>
      <c r="BG21" s="441"/>
      <c r="BH21" s="441"/>
      <c r="BI21" s="441"/>
      <c r="BJ21" s="441"/>
      <c r="BK21" s="441"/>
      <c r="BL21" s="441"/>
    </row>
    <row r="22" ht="16" customHeight="1">
      <c r="A22" s="470"/>
      <c r="B22" s="479">
        <f>IF('Window &amp; Door DATA INPUT'!B28&gt;1,1,0)</f>
        <v>1</v>
      </c>
      <c r="C22" s="479">
        <f>IF(AND(B22=1,OR(D22='Parameters'!$D$17,D22='Parameters'!$D$18,D22='Parameters'!$D$19,D22='Parameters'!$D$20,D22='Parameters'!$D$21)),1,0)</f>
        <v>0</v>
      </c>
      <c r="D22" t="s" s="480">
        <f>IF('Window &amp; Door DATA INPUT'!B28="","",'Window &amp; Door DATA INPUT'!B28)</f>
        <v>208</v>
      </c>
      <c r="E22" s="481">
        <f>IF('Window &amp; Door DATA INPUT'!D28="","",'Window &amp; Door DATA INPUT'!D28)</f>
        <v>7.7449</v>
      </c>
      <c r="F22" t="s" s="480">
        <f>IF(B22=1,'Window &amp; Door DATA INPUT'!H28&amp;'RESULTS'!$H$5,"")</f>
        <v>439</v>
      </c>
      <c r="G22" t="s" s="480">
        <f>IF(B22=1,VLOOKUP(F22,'Parameters'!$H$4:$I$20,2,FALSE),"")</f>
        <v>207</v>
      </c>
      <c r="H22" t="s" s="414">
        <f>IF(OR('Window &amp; Door DATA INPUT'!J28='Parameters'!$K$4,'Window &amp; Door DATA INPUT'!J28='Parameters'!$K$11),"No",IF('Window &amp; Door DATA INPUT'!K28="","",'Window &amp; Door DATA INPUT'!K28))</f>
        <v>138</v>
      </c>
      <c r="I22" t="s" s="414">
        <f>IF('Window &amp; Door DATA INPUT'!J28="","",'Window &amp; Door DATA INPUT'!J28)</f>
        <v>215</v>
      </c>
      <c r="J22" s="482">
        <f>IF('Window &amp; Door DATA INPUT'!L28='Parameters'!$O$5,'Window &amp; Door DATA INPUT'!O28,IF(B22=1,'Window &amp; Door DATA INPUT'!N28*'Window &amp; Door DATA INPUT'!M28,""))</f>
        <v>0.7448</v>
      </c>
      <c r="K22" t="s" s="414">
        <f>IF('Window &amp; Door DATA INPUT'!J28="","",VLOOKUP('Window &amp; Door DATA INPUT'!J28,'Parameters'!$K$4:$L$16,2,FALSE))</f>
        <v>427</v>
      </c>
      <c r="L22" s="483">
        <f>IF($H22="yes",IF($K22="Y",'Window &amp; Door DATA INPUT'!Q28,IF($K22="N",'Window &amp; Door DATA INPUT'!P28)),"")</f>
        <v>0.887</v>
      </c>
      <c r="M22" s="483">
        <f>IF($H22="yes",IF($K22="Y",'Window &amp; Door DATA INPUT'!P28,IF($K22="N",'Window &amp; Door DATA INPUT'!Q28)),"")</f>
        <v>1.119</v>
      </c>
      <c r="N22" s="482">
        <f>IF(L22="","",L22*M22)</f>
        <v>0.992553</v>
      </c>
      <c r="O22" t="s" s="414">
        <f>IF(AND(B22=1,C22=0,H22="yes"),"A",IF(AND(C22=1,H22="yes",'Window &amp; Door DATA INPUT'!R28="no"),"B",IF(AND(C22=1,H22="yes",'Window &amp; Door DATA INPUT'!R28="yes",'Window &amp; Door DATA INPUT'!S28="yes"),"C",IF(AND(C22=1,H22="yes",'Window &amp; Door DATA INPUT'!R28="yes",'Window &amp; Door DATA INPUT'!S28="no"),"D",""))))</f>
        <v>230</v>
      </c>
      <c r="P22" t="s" s="414">
        <f>IF(AND(C22=1,H22="yes",OR(I22='Parameters'!$K$12,I22='Parameters'!$K$13,I22='Parameters'!$K$14)),"E",IF(AND(C22=1,H22="yes",NOT(OR(I22='Parameters'!$K$12,I22='Parameters'!$K$13,I22='Parameters'!$K$14))),"F",""))</f>
      </c>
      <c r="Q22" t="s" s="414">
        <f>IF(AND(B22=1,H22="yes"),VLOOKUP(I22,'Parameters'!$K$4:$M$16,3,FALSE),"")</f>
        <v>415</v>
      </c>
      <c r="R22" s="484">
        <f>IF(AND(OR(O22="A",O22="B",O22="d"),Q22="input"),'Window &amp; Door DATA INPUT'!AA28,IF(AND(O22="C",Q22="input"),'Window &amp; Door DATA INPUT'!W28,Q22))</f>
        <v>90</v>
      </c>
      <c r="S22" t="s" s="414">
        <f>IF('Window &amp; Door DATA INPUT'!X28="Yes",'Window &amp; Door DATA INPUT'!Y28/1000,IF(B22=1,"N/A",""))</f>
        <v>416</v>
      </c>
      <c r="T22" t="s" s="480">
        <f>IF(Q22="calc",IF(P22="yes",'Window &amp; Door DATA INPUT'!U28/1000,('Parameters'!$S$4-'Window &amp; Door DATA INPUT'!Z28+'Parameters'!$Q$4)/1000),"")</f>
      </c>
      <c r="U22" t="s" s="480">
        <f>IF(Q22="calc",IF(T22&gt;M22,M22,T22),"")</f>
      </c>
      <c r="V22" t="s" s="480">
        <f>IF(AND(S22&gt;0,S22&lt;U22),S22,U22)</f>
      </c>
      <c r="W22" s="485">
        <f>IF(R22="calc",DEGREES(ASIN(V22/M22)),R22)</f>
        <v>90</v>
      </c>
      <c r="X22" s="483">
        <f>IF(OR($H22="no",$B22=0),"",IF($I22='Parameters'!$K$15,$L22/($M22/2),$L22/$M22))</f>
        <v>1.58534405719392</v>
      </c>
      <c r="Y22" s="483">
        <f>IF(OR($H22="no",$B22=0),"",IF($X22&lt;0.5,'Parameters'!$X$4,IF($X22&lt;1,'Parameters'!$Y$4,IF($X22&lt;2,'Parameters'!$Z$4,'Parameters'!$AA$4))))</f>
        <v>0.0404635490792875</v>
      </c>
      <c r="Z22" s="483">
        <f>IF(OR($H22="no",$B22=0),"",IF($X22&lt;0.5,'Parameters'!$X$5,IF($X22&lt;1,'Parameters'!$Y$5,IF($X22&lt;2,'Parameters'!$Z$5,'Parameters'!$AA$5))))</f>
        <v>0.5625</v>
      </c>
      <c r="AA22" s="483">
        <f>IF(OR($H22="no",$B22=0),"",IF($I22='Parameters'!$K$15,(2*($M22/2)*SIN(RADIANS($W22/2))),(2*$M22*SIN(RADIANS($W22/2)))))</f>
        <v>0.791252488147747</v>
      </c>
      <c r="AB22" s="483">
        <f>IF(OR($H22="no",$B22=0),"",$Z22*(1-EXP(-$Y22*$W22)))</f>
        <v>0.54775842523901</v>
      </c>
      <c r="AC22" s="483">
        <f>IF(OR($H22="no",$B22=0),"",IF($I22='Parameters'!$K$15,$AB22*$N22/2,$AB22*$N22))</f>
        <v>0.271839634123128</v>
      </c>
      <c r="AD22" s="486">
        <f>IF(OR($H22="no",$B22=0),"",IF($I22='Parameters'!$K$15,$AC22*2/'Parameters'!$AB$4,$AC22/'Parameters'!$AB$4))</f>
        <v>0.876902045558477</v>
      </c>
      <c r="AE22" t="s" s="487">
        <f>IF(AND(O22="B",Q22="calc"),V22,IF(AND(O22="C",Q22="calc"),'Window &amp; Door DATA INPUT'!T28/1000,""))</f>
      </c>
      <c r="AF22" t="s" s="414">
        <f>IF(AND(O22="B",Q22="input"),'Window &amp; Door DATA INPUT'!AA28,IF(AND(O22="C",Q22="input",P22="F"),'Window &amp; Door DATA INPUT'!V28,IF(AND(O22="C",P22="E"),0,IF(AND(O22="D"),0,IF(AND(B22=1,C22=0),"",(Q22))))))</f>
      </c>
      <c r="AG22" t="s" s="496">
        <f>IF(AF22="calc",DEGREES(ASIN(AE22/M22)),AF22)</f>
      </c>
      <c r="AH22" t="s" s="480">
        <f>IF(OR($H22="no",$C22=0),"",IF($I22='Parameters'!$K$15,$L22/($M22/2),$L22/$M22))</f>
      </c>
      <c r="AI22" t="s" s="480">
        <f>IF(OR($H22="no",$C22=0),"",IF($AH22&lt;0.5,'Parameters'!$X$4,IF($AH22&lt;1,'Parameters'!$Y$4,IF($AH22&lt;2,'Parameters'!$Z$4,'Parameters'!$AA$4))))</f>
      </c>
      <c r="AJ22" t="s" s="480">
        <f>IF(OR($H22="no",$C22=0),"",IF($AH22&lt;0.5,'Parameters'!$X$5,IF($AH22&lt;1,'Parameters'!$Y$5,IF($AH22&lt;2,'Parameters'!$Z$5,'Parameters'!$AA$5))))</f>
      </c>
      <c r="AK22" t="s" s="480">
        <f>IF(OR($H22="no",$C22=0),"",IF($I22='Parameters'!$K$15,(2*($M22/2)*SIN(RADIANS($AG22/2))),(2*$M22*SIN(RADIANS($AG22/2)))))</f>
      </c>
      <c r="AL22" t="s" s="480">
        <f>IF(OR($H22="no",$C22=0),"",$AJ22*(1-EXP(-$AI22*$AG22)))</f>
      </c>
      <c r="AM22" t="s" s="480">
        <f>IF(OR($H22="no",$C22=0),"",IF($I22='Parameters'!$K$15,$AL22*$N22/2,$AL22*$N22))</f>
      </c>
      <c r="AN22" t="s" s="497">
        <f>IF(OR($H22="no",$C22=0),"",IF($I22='Parameters'!$K$15,$AM22*2/'Parameters'!$AB$4,$AM22/'Parameters'!$AB$4))</f>
      </c>
      <c r="AO22" s="474"/>
      <c r="AP22" t="s" s="488">
        <f>'Parameters'!D22</f>
        <v>447</v>
      </c>
      <c r="AQ22" s="489">
        <f>IF(ISERROR(VLOOKUP($AP22,$D$4:$E$68,2,FALSE)),0,(VLOOKUP($AP22,$D$4:$E$68,2,FALSE)))</f>
        <v>0</v>
      </c>
      <c r="AR22" s="489">
        <f>_xlfn.SUMIFS($J$4:$J$68,$D$4:$D$68,AP22)</f>
        <v>0</v>
      </c>
      <c r="AS22" t="s" s="466">
        <f>IF(AQ22&gt;0,AR22/AQ22," ")</f>
        <v>421</v>
      </c>
      <c r="AT22" s="489">
        <f>_xlfn.SUMIFS($AD$4:$AD$68,$D$4:$D$68,AP22)</f>
        <v>0</v>
      </c>
      <c r="AU22" t="s" s="466">
        <f>IF(AR22=$BA$12,AS22,"")</f>
      </c>
      <c r="AV22" s="491"/>
      <c r="AW22" s="491"/>
      <c r="AX22" s="508"/>
      <c r="AY22" s="441"/>
      <c r="AZ22" s="441"/>
      <c r="BA22" s="441"/>
      <c r="BB22" s="470"/>
      <c r="BC22" t="s" s="488">
        <v>190</v>
      </c>
      <c r="BD22" s="501">
        <f>IF(AV19&gt;0,AV19,"")</f>
        <v>0.859844082477397</v>
      </c>
      <c r="BE22" s="504">
        <f>IF(AV19&gt;0,AW19*100,"")</f>
        <v>4.80359822613071</v>
      </c>
      <c r="BF22" s="468"/>
      <c r="BG22" s="441"/>
      <c r="BH22" s="441"/>
      <c r="BI22" s="441"/>
      <c r="BJ22" s="441"/>
      <c r="BK22" s="441"/>
      <c r="BL22" s="441"/>
    </row>
    <row r="23" ht="16" customHeight="1">
      <c r="A23" s="470"/>
      <c r="B23" s="479">
        <f>IF('Window &amp; Door DATA INPUT'!B29&gt;1,1,0)</f>
        <v>1</v>
      </c>
      <c r="C23" s="479">
        <f>IF(AND(B23=1,OR(D23='Parameters'!$D$17,D23='Parameters'!$D$18,D23='Parameters'!$D$19,D23='Parameters'!$D$20,D23='Parameters'!$D$21)),1,0)</f>
        <v>0</v>
      </c>
      <c r="D23" t="s" s="480">
        <f>IF('Window &amp; Door DATA INPUT'!B29="","",'Window &amp; Door DATA INPUT'!B29)</f>
        <v>219</v>
      </c>
      <c r="E23" s="481">
        <f>IF('Window &amp; Door DATA INPUT'!D29="","",'Window &amp; Door DATA INPUT'!D29)</f>
        <v>6.8</v>
      </c>
      <c r="F23" t="s" s="480">
        <f>IF(B23=1,'Window &amp; Door DATA INPUT'!H29&amp;'RESULTS'!$H$5,"")</f>
        <v>439</v>
      </c>
      <c r="G23" t="s" s="480">
        <f>IF(B23=1,VLOOKUP(F23,'Parameters'!$H$4:$I$20,2,FALSE),"")</f>
        <v>207</v>
      </c>
      <c r="H23" t="s" s="414">
        <f>IF(OR('Window &amp; Door DATA INPUT'!J29='Parameters'!$K$4,'Window &amp; Door DATA INPUT'!J29='Parameters'!$K$11),"No",IF('Window &amp; Door DATA INPUT'!K29="","",'Window &amp; Door DATA INPUT'!K29))</f>
        <v>138</v>
      </c>
      <c r="I23" t="s" s="414">
        <f>IF('Window &amp; Door DATA INPUT'!J29="","",'Window &amp; Door DATA INPUT'!J29)</f>
        <v>215</v>
      </c>
      <c r="J23" s="482">
        <f>IF('Window &amp; Door DATA INPUT'!L29='Parameters'!$O$5,'Window &amp; Door DATA INPUT'!O29,IF(B23=1,'Window &amp; Door DATA INPUT'!N29*'Window &amp; Door DATA INPUT'!M29,""))</f>
        <v>0.7448</v>
      </c>
      <c r="K23" t="s" s="414">
        <f>IF('Window &amp; Door DATA INPUT'!J29="","",VLOOKUP('Window &amp; Door DATA INPUT'!J29,'Parameters'!$K$4:$L$16,2,FALSE))</f>
        <v>427</v>
      </c>
      <c r="L23" s="483">
        <f>IF($H23="yes",IF($K23="Y",'Window &amp; Door DATA INPUT'!Q29,IF($K23="N",'Window &amp; Door DATA INPUT'!P29)),"")</f>
        <v>0.887</v>
      </c>
      <c r="M23" s="483">
        <f>IF($H23="yes",IF($K23="Y",'Window &amp; Door DATA INPUT'!P29,IF($K23="N",'Window &amp; Door DATA INPUT'!Q29)),"")</f>
        <v>1.119</v>
      </c>
      <c r="N23" s="482">
        <f>IF(L23="","",L23*M23)</f>
        <v>0.992553</v>
      </c>
      <c r="O23" t="s" s="414">
        <f>IF(AND(B23=1,C23=0,H23="yes"),"A",IF(AND(C23=1,H23="yes",'Window &amp; Door DATA INPUT'!R29="no"),"B",IF(AND(C23=1,H23="yes",'Window &amp; Door DATA INPUT'!R29="yes",'Window &amp; Door DATA INPUT'!S29="yes"),"C",IF(AND(C23=1,H23="yes",'Window &amp; Door DATA INPUT'!R29="yes",'Window &amp; Door DATA INPUT'!S29="no"),"D",""))))</f>
        <v>230</v>
      </c>
      <c r="P23" t="s" s="414">
        <f>IF(AND(C23=1,H23="yes",OR(I23='Parameters'!$K$12,I23='Parameters'!$K$13,I23='Parameters'!$K$14)),"E",IF(AND(C23=1,H23="yes",NOT(OR(I23='Parameters'!$K$12,I23='Parameters'!$K$13,I23='Parameters'!$K$14))),"F",""))</f>
      </c>
      <c r="Q23" t="s" s="414">
        <f>IF(AND(B23=1,H23="yes"),VLOOKUP(I23,'Parameters'!$K$4:$M$16,3,FALSE),"")</f>
        <v>415</v>
      </c>
      <c r="R23" s="484">
        <f>IF(AND(OR(O23="A",O23="B",O23="d"),Q23="input"),'Window &amp; Door DATA INPUT'!AA29,IF(AND(O23="C",Q23="input"),'Window &amp; Door DATA INPUT'!W29,Q23))</f>
        <v>90</v>
      </c>
      <c r="S23" t="s" s="414">
        <f>IF('Window &amp; Door DATA INPUT'!X29="Yes",'Window &amp; Door DATA INPUT'!Y29/1000,IF(B23=1,"N/A",""))</f>
        <v>416</v>
      </c>
      <c r="T23" t="s" s="480">
        <f>IF(Q23="calc",IF(P23="yes",'Window &amp; Door DATA INPUT'!U29/1000,('Parameters'!$S$4-'Window &amp; Door DATA INPUT'!Z29+'Parameters'!$Q$4)/1000),"")</f>
      </c>
      <c r="U23" t="s" s="480">
        <f>IF(Q23="calc",IF(T23&gt;M23,M23,T23),"")</f>
      </c>
      <c r="V23" t="s" s="480">
        <f>IF(AND(S23&gt;0,S23&lt;U23),S23,U23)</f>
      </c>
      <c r="W23" s="485">
        <f>IF(R23="calc",DEGREES(ASIN(V23/M23)),R23)</f>
        <v>90</v>
      </c>
      <c r="X23" s="483">
        <f>IF(OR($H23="no",$B23=0),"",IF($I23='Parameters'!$K$15,$L23/($M23/2),$L23/$M23))</f>
        <v>1.58534405719392</v>
      </c>
      <c r="Y23" s="483">
        <f>IF(OR($H23="no",$B23=0),"",IF($X23&lt;0.5,'Parameters'!$X$4,IF($X23&lt;1,'Parameters'!$Y$4,IF($X23&lt;2,'Parameters'!$Z$4,'Parameters'!$AA$4))))</f>
        <v>0.0404635490792875</v>
      </c>
      <c r="Z23" s="483">
        <f>IF(OR($H23="no",$B23=0),"",IF($X23&lt;0.5,'Parameters'!$X$5,IF($X23&lt;1,'Parameters'!$Y$5,IF($X23&lt;2,'Parameters'!$Z$5,'Parameters'!$AA$5))))</f>
        <v>0.5625</v>
      </c>
      <c r="AA23" s="483">
        <f>IF(OR($H23="no",$B23=0),"",IF($I23='Parameters'!$K$15,(2*($M23/2)*SIN(RADIANS($W23/2))),(2*$M23*SIN(RADIANS($W23/2)))))</f>
        <v>0.791252488147747</v>
      </c>
      <c r="AB23" s="483">
        <f>IF(OR($H23="no",$B23=0),"",$Z23*(1-EXP(-$Y23*$W23)))</f>
        <v>0.54775842523901</v>
      </c>
      <c r="AC23" s="483">
        <f>IF(OR($H23="no",$B23=0),"",IF($I23='Parameters'!$K$15,$AB23*$N23/2,$AB23*$N23))</f>
        <v>0.271839634123128</v>
      </c>
      <c r="AD23" s="486">
        <f>IF(OR($H23="no",$B23=0),"",IF($I23='Parameters'!$K$15,$AC23*2/'Parameters'!$AB$4,$AC23/'Parameters'!$AB$4))</f>
        <v>0.876902045558477</v>
      </c>
      <c r="AE23" t="s" s="487">
        <f>IF(AND(O23="B",Q23="calc"),V23,IF(AND(O23="C",Q23="calc"),'Window &amp; Door DATA INPUT'!T29/1000,""))</f>
      </c>
      <c r="AF23" t="s" s="414">
        <f>IF(AND(O23="B",Q23="input"),'Window &amp; Door DATA INPUT'!AA29,IF(AND(O23="C",Q23="input",P23="F"),'Window &amp; Door DATA INPUT'!V29,IF(AND(O23="C",P23="E"),0,IF(AND(O23="D"),0,IF(AND(B23=1,C23=0),"",(Q23))))))</f>
      </c>
      <c r="AG23" t="s" s="496">
        <f>IF(AF23="calc",DEGREES(ASIN(AE23/M23)),AF23)</f>
      </c>
      <c r="AH23" t="s" s="480">
        <f>IF(OR($H23="no",$C23=0),"",IF($I23='Parameters'!$K$15,$L23/($M23/2),$L23/$M23))</f>
      </c>
      <c r="AI23" t="s" s="480">
        <f>IF(OR($H23="no",$C23=0),"",IF($AH23&lt;0.5,'Parameters'!$X$4,IF($AH23&lt;1,'Parameters'!$Y$4,IF($AH23&lt;2,'Parameters'!$Z$4,'Parameters'!$AA$4))))</f>
      </c>
      <c r="AJ23" t="s" s="480">
        <f>IF(OR($H23="no",$C23=0),"",IF($AH23&lt;0.5,'Parameters'!$X$5,IF($AH23&lt;1,'Parameters'!$Y$5,IF($AH23&lt;2,'Parameters'!$Z$5,'Parameters'!$AA$5))))</f>
      </c>
      <c r="AK23" t="s" s="480">
        <f>IF(OR($H23="no",$C23=0),"",IF($I23='Parameters'!$K$15,(2*($M23/2)*SIN(RADIANS($AG23/2))),(2*$M23*SIN(RADIANS($AG23/2)))))</f>
      </c>
      <c r="AL23" t="s" s="480">
        <f>IF(OR($H23="no",$C23=0),"",$AJ23*(1-EXP(-$AI23*$AG23)))</f>
      </c>
      <c r="AM23" t="s" s="480">
        <f>IF(OR($H23="no",$C23=0),"",IF($I23='Parameters'!$K$15,$AL23*$N23/2,$AL23*$N23))</f>
      </c>
      <c r="AN23" t="s" s="497">
        <f>IF(OR($H23="no",$C23=0),"",IF($I23='Parameters'!$K$15,$AM23*2/'Parameters'!$AB$4,$AM23/'Parameters'!$AB$4))</f>
      </c>
      <c r="AO23" s="474"/>
      <c r="AP23" t="s" s="488">
        <f>'Parameters'!D23</f>
        <v>448</v>
      </c>
      <c r="AQ23" s="489">
        <f>IF(ISERROR(VLOOKUP($AP23,$D$4:$E$68,2,FALSE)),0,(VLOOKUP($AP23,$D$4:$E$68,2,FALSE)))</f>
        <v>0</v>
      </c>
      <c r="AR23" s="489">
        <f>_xlfn.SUMIFS($J$4:$J$68,$D$4:$D$68,AP23)</f>
        <v>0</v>
      </c>
      <c r="AS23" t="s" s="466">
        <f>IF(AQ23&gt;0,AR23/AQ23," ")</f>
        <v>421</v>
      </c>
      <c r="AT23" s="489">
        <f>_xlfn.SUMIFS($AD$4:$AD$68,$D$4:$D$68,AP23)</f>
        <v>0</v>
      </c>
      <c r="AU23" t="s" s="466">
        <f>IF(AR23=$BA$12,AS23,"")</f>
      </c>
      <c r="AV23" s="491"/>
      <c r="AW23" s="491"/>
      <c r="AX23" s="499"/>
      <c r="AY23" s="441"/>
      <c r="AZ23" s="441"/>
      <c r="BA23" s="441"/>
      <c r="BB23" s="470"/>
      <c r="BC23" t="s" s="488">
        <v>445</v>
      </c>
      <c r="BD23" t="s" s="488">
        <f>IF(AV20&gt;0,AV20,"")</f>
      </c>
      <c r="BE23" t="s" s="488">
        <f>IF(AV20&gt;0,AW20*100,"")</f>
      </c>
      <c r="BF23" s="468"/>
      <c r="BG23" s="441"/>
      <c r="BH23" s="441"/>
      <c r="BI23" s="441"/>
      <c r="BJ23" s="441"/>
      <c r="BK23" s="441"/>
      <c r="BL23" s="441"/>
    </row>
    <row r="24" ht="16" customHeight="1">
      <c r="A24" s="470"/>
      <c r="B24" s="479">
        <f>IF('Window &amp; Door DATA INPUT'!B30&gt;1,1,0)</f>
        <v>1</v>
      </c>
      <c r="C24" s="479">
        <f>IF(AND(B24=1,OR(D24='Parameters'!$D$17,D24='Parameters'!$D$18,D24='Parameters'!$D$19,D24='Parameters'!$D$20,D24='Parameters'!$D$21)),1,0)</f>
        <v>0</v>
      </c>
      <c r="D24" t="s" s="480">
        <f>IF('Window &amp; Door DATA INPUT'!B30="","",'Window &amp; Door DATA INPUT'!B30)</f>
        <v>221</v>
      </c>
      <c r="E24" s="481">
        <f>IF('Window &amp; Door DATA INPUT'!D30="","",'Window &amp; Door DATA INPUT'!D30)</f>
        <v>5.3</v>
      </c>
      <c r="F24" t="s" s="480">
        <f>IF(B24=1,'Window &amp; Door DATA INPUT'!H30&amp;'RESULTS'!$H$5,"")</f>
        <v>439</v>
      </c>
      <c r="G24" t="s" s="480">
        <f>IF(B24=1,VLOOKUP(F24,'Parameters'!$H$4:$I$20,2,FALSE),"")</f>
        <v>207</v>
      </c>
      <c r="H24" t="s" s="414">
        <f>IF(OR('Window &amp; Door DATA INPUT'!J30='Parameters'!$K$4,'Window &amp; Door DATA INPUT'!J30='Parameters'!$K$11),"No",IF('Window &amp; Door DATA INPUT'!K30="","",'Window &amp; Door DATA INPUT'!K30))</f>
        <v>138</v>
      </c>
      <c r="I24" t="s" s="414">
        <f>IF('Window &amp; Door DATA INPUT'!J30="","",'Window &amp; Door DATA INPUT'!J30)</f>
        <v>215</v>
      </c>
      <c r="J24" s="482">
        <f>IF('Window &amp; Door DATA INPUT'!L30='Parameters'!$O$5,'Window &amp; Door DATA INPUT'!O30,IF(B24=1,'Window &amp; Door DATA INPUT'!N30*'Window &amp; Door DATA INPUT'!M30,""))</f>
        <v>0.7448</v>
      </c>
      <c r="K24" t="s" s="414">
        <f>IF('Window &amp; Door DATA INPUT'!J30="","",VLOOKUP('Window &amp; Door DATA INPUT'!J30,'Parameters'!$K$4:$L$16,2,FALSE))</f>
        <v>427</v>
      </c>
      <c r="L24" s="483">
        <f>IF($H24="yes",IF($K24="Y",'Window &amp; Door DATA INPUT'!Q30,IF($K24="N",'Window &amp; Door DATA INPUT'!P30)),"")</f>
        <v>0.887</v>
      </c>
      <c r="M24" s="483">
        <f>IF($H24="yes",IF($K24="Y",'Window &amp; Door DATA INPUT'!P30,IF($K24="N",'Window &amp; Door DATA INPUT'!Q30)),"")</f>
        <v>1.119</v>
      </c>
      <c r="N24" s="482">
        <f>IF(L24="","",L24*M24)</f>
        <v>0.992553</v>
      </c>
      <c r="O24" t="s" s="414">
        <f>IF(AND(B24=1,C24=0,H24="yes"),"A",IF(AND(C24=1,H24="yes",'Window &amp; Door DATA INPUT'!R30="no"),"B",IF(AND(C24=1,H24="yes",'Window &amp; Door DATA INPUT'!R30="yes",'Window &amp; Door DATA INPUT'!S30="yes"),"C",IF(AND(C24=1,H24="yes",'Window &amp; Door DATA INPUT'!R30="yes",'Window &amp; Door DATA INPUT'!S30="no"),"D",""))))</f>
        <v>230</v>
      </c>
      <c r="P24" t="s" s="414">
        <f>IF(AND(C24=1,H24="yes",OR(I24='Parameters'!$K$12,I24='Parameters'!$K$13,I24='Parameters'!$K$14)),"E",IF(AND(C24=1,H24="yes",NOT(OR(I24='Parameters'!$K$12,I24='Parameters'!$K$13,I24='Parameters'!$K$14))),"F",""))</f>
      </c>
      <c r="Q24" t="s" s="414">
        <f>IF(AND(B24=1,H24="yes"),VLOOKUP(I24,'Parameters'!$K$4:$M$16,3,FALSE),"")</f>
        <v>415</v>
      </c>
      <c r="R24" s="484">
        <f>IF(AND(OR(O24="A",O24="B",O24="d"),Q24="input"),'Window &amp; Door DATA INPUT'!AA30,IF(AND(O24="C",Q24="input"),'Window &amp; Door DATA INPUT'!W30,Q24))</f>
        <v>90</v>
      </c>
      <c r="S24" t="s" s="414">
        <f>IF('Window &amp; Door DATA INPUT'!X30="Yes",'Window &amp; Door DATA INPUT'!Y30/1000,IF(B24=1,"N/A",""))</f>
        <v>416</v>
      </c>
      <c r="T24" t="s" s="480">
        <f>IF(Q24="calc",IF(P24="yes",'Window &amp; Door DATA INPUT'!U30/1000,('Parameters'!$S$4-'Window &amp; Door DATA INPUT'!Z30+'Parameters'!$Q$4)/1000),"")</f>
      </c>
      <c r="U24" t="s" s="480">
        <f>IF(Q24="calc",IF(T24&gt;M24,M24,T24),"")</f>
      </c>
      <c r="V24" t="s" s="480">
        <f>IF(AND(S24&gt;0,S24&lt;U24),S24,U24)</f>
      </c>
      <c r="W24" s="485">
        <f>IF(R24="calc",DEGREES(ASIN(V24/M24)),R24)</f>
        <v>90</v>
      </c>
      <c r="X24" s="483">
        <f>IF(OR($H24="no",$B24=0),"",IF($I24='Parameters'!$K$15,$L24/($M24/2),$L24/$M24))</f>
        <v>1.58534405719392</v>
      </c>
      <c r="Y24" s="483">
        <f>IF(OR($H24="no",$B24=0),"",IF($X24&lt;0.5,'Parameters'!$X$4,IF($X24&lt;1,'Parameters'!$Y$4,IF($X24&lt;2,'Parameters'!$Z$4,'Parameters'!$AA$4))))</f>
        <v>0.0404635490792875</v>
      </c>
      <c r="Z24" s="483">
        <f>IF(OR($H24="no",$B24=0),"",IF($X24&lt;0.5,'Parameters'!$X$5,IF($X24&lt;1,'Parameters'!$Y$5,IF($X24&lt;2,'Parameters'!$Z$5,'Parameters'!$AA$5))))</f>
        <v>0.5625</v>
      </c>
      <c r="AA24" s="483">
        <f>IF(OR($H24="no",$B24=0),"",IF($I24='Parameters'!$K$15,(2*($M24/2)*SIN(RADIANS($W24/2))),(2*$M24*SIN(RADIANS($W24/2)))))</f>
        <v>0.791252488147747</v>
      </c>
      <c r="AB24" s="483">
        <f>IF(OR($H24="no",$B24=0),"",$Z24*(1-EXP(-$Y24*$W24)))</f>
        <v>0.54775842523901</v>
      </c>
      <c r="AC24" s="483">
        <f>IF(OR($H24="no",$B24=0),"",IF($I24='Parameters'!$K$15,$AB24*$N24/2,$AB24*$N24))</f>
        <v>0.271839634123128</v>
      </c>
      <c r="AD24" s="486">
        <f>IF(OR($H24="no",$B24=0),"",IF($I24='Parameters'!$K$15,$AC24*2/'Parameters'!$AB$4,$AC24/'Parameters'!$AB$4))</f>
        <v>0.876902045558477</v>
      </c>
      <c r="AE24" t="s" s="487">
        <f>IF(AND(O24="B",Q24="calc"),V24,IF(AND(O24="C",Q24="calc"),'Window &amp; Door DATA INPUT'!T30/1000,""))</f>
      </c>
      <c r="AF24" t="s" s="414">
        <f>IF(AND(O24="B",Q24="input"),'Window &amp; Door DATA INPUT'!AA30,IF(AND(O24="C",Q24="input",P24="F"),'Window &amp; Door DATA INPUT'!V30,IF(AND(O24="C",P24="E"),0,IF(AND(O24="D"),0,IF(AND(B24=1,C24=0),"",(Q24))))))</f>
      </c>
      <c r="AG24" t="s" s="496">
        <f>IF(AF24="calc",DEGREES(ASIN(AE24/M24)),AF24)</f>
      </c>
      <c r="AH24" t="s" s="480">
        <f>IF(OR($H24="no",$C24=0),"",IF($I24='Parameters'!$K$15,$L24/($M24/2),$L24/$M24))</f>
      </c>
      <c r="AI24" t="s" s="480">
        <f>IF(OR($H24="no",$C24=0),"",IF($AH24&lt;0.5,'Parameters'!$X$4,IF($AH24&lt;1,'Parameters'!$Y$4,IF($AH24&lt;2,'Parameters'!$Z$4,'Parameters'!$AA$4))))</f>
      </c>
      <c r="AJ24" t="s" s="480">
        <f>IF(OR($H24="no",$C24=0),"",IF($AH24&lt;0.5,'Parameters'!$X$5,IF($AH24&lt;1,'Parameters'!$Y$5,IF($AH24&lt;2,'Parameters'!$Z$5,'Parameters'!$AA$5))))</f>
      </c>
      <c r="AK24" t="s" s="480">
        <f>IF(OR($H24="no",$C24=0),"",IF($I24='Parameters'!$K$15,(2*($M24/2)*SIN(RADIANS($AG24/2))),(2*$M24*SIN(RADIANS($AG24/2)))))</f>
      </c>
      <c r="AL24" t="s" s="480">
        <f>IF(OR($H24="no",$C24=0),"",$AJ24*(1-EXP(-$AI24*$AG24)))</f>
      </c>
      <c r="AM24" t="s" s="480">
        <f>IF(OR($H24="no",$C24=0),"",IF($I24='Parameters'!$K$15,$AL24*$N24/2,$AL24*$N24))</f>
      </c>
      <c r="AN24" t="s" s="497">
        <f>IF(OR($H24="no",$C24=0),"",IF($I24='Parameters'!$K$15,$AM24*2/'Parameters'!$AB$4,$AM24/'Parameters'!$AB$4))</f>
      </c>
      <c r="AO24" s="474"/>
      <c r="AP24" t="s" s="488">
        <f>'Parameters'!D24</f>
        <v>187</v>
      </c>
      <c r="AQ24" s="489">
        <f>IF(ISERROR(VLOOKUP($AP24,$D$4:$E$68,2,FALSE)),0,(VLOOKUP($AP24,$D$4:$E$68,2,FALSE)))</f>
        <v>6</v>
      </c>
      <c r="AR24" s="489">
        <f>_xlfn.SUMIFS($J$4:$J$68,$D$4:$D$68,AP24)</f>
        <v>0.231</v>
      </c>
      <c r="AS24" s="490">
        <f>IF(AQ24&gt;0,AR24/AQ24," ")</f>
        <v>0.0385</v>
      </c>
      <c r="AT24" s="489">
        <f>_xlfn.SUMIFS($AD$4:$AD$68,$D$4:$D$68,AP24)</f>
        <v>0.291080365874721</v>
      </c>
      <c r="AU24" t="s" s="466">
        <f>IF(AR24=$BA$12,AS24,"")</f>
      </c>
      <c r="AV24" s="491"/>
      <c r="AW24" s="491"/>
      <c r="AX24" s="499"/>
      <c r="AY24" s="441"/>
      <c r="AZ24" s="441"/>
      <c r="BA24" s="441"/>
      <c r="BB24" s="470"/>
      <c r="BC24" t="s" s="488">
        <v>446</v>
      </c>
      <c r="BD24" t="s" s="488">
        <f>IF(AV21&gt;0,AV21,"")</f>
      </c>
      <c r="BE24" t="s" s="488">
        <f>IF(AV21&gt;0,AW21*100,"")</f>
      </c>
      <c r="BF24" s="468"/>
      <c r="BG24" s="441"/>
      <c r="BH24" s="441"/>
      <c r="BI24" s="441"/>
      <c r="BJ24" s="441"/>
      <c r="BK24" s="441"/>
      <c r="BL24" s="441"/>
    </row>
    <row r="25" ht="16" customHeight="1">
      <c r="A25" s="470"/>
      <c r="B25" s="479">
        <f>IF('Window &amp; Door DATA INPUT'!B31&gt;1,1,0)</f>
        <v>0</v>
      </c>
      <c r="C25" s="479">
        <f>IF(AND(B25=1,OR(D25='Parameters'!$D$17,D25='Parameters'!$D$18,D25='Parameters'!$D$19,D25='Parameters'!$D$20,D25='Parameters'!$D$21)),1,0)</f>
        <v>0</v>
      </c>
      <c r="D25" t="s" s="480">
        <f>IF('Window &amp; Door DATA INPUT'!B31="","",'Window &amp; Door DATA INPUT'!B31)</f>
      </c>
      <c r="E25" t="s" s="480">
        <f>IF('Window &amp; Door DATA INPUT'!D31="","",'Window &amp; Door DATA INPUT'!D31)</f>
      </c>
      <c r="F25" t="s" s="480">
        <f>IF(B25=1,'Window &amp; Door DATA INPUT'!H31&amp;'RESULTS'!$H$5,"")</f>
      </c>
      <c r="G25" t="s" s="480">
        <f>IF(B25=1,VLOOKUP(F25,'Parameters'!$H$4:$I$20,2,FALSE),"")</f>
      </c>
      <c r="H25" t="s" s="480">
        <f>IF(OR('Window &amp; Door DATA INPUT'!J31='Parameters'!$K$4,'Window &amp; Door DATA INPUT'!J31='Parameters'!$K$11),"No",IF('Window &amp; Door DATA INPUT'!K31="","",'Window &amp; Door DATA INPUT'!K31))</f>
      </c>
      <c r="I25" t="s" s="480">
        <f>IF('Window &amp; Door DATA INPUT'!J31="","",'Window &amp; Door DATA INPUT'!J31)</f>
      </c>
      <c r="J25" t="s" s="480">
        <f>IF('Window &amp; Door DATA INPUT'!L31='Parameters'!$O$5,'Window &amp; Door DATA INPUT'!O31,IF(B25=1,'Window &amp; Door DATA INPUT'!N31*'Window &amp; Door DATA INPUT'!M31,""))</f>
      </c>
      <c r="K25" t="s" s="414">
        <f>IF('Window &amp; Door DATA INPUT'!J31="","",VLOOKUP('Window &amp; Door DATA INPUT'!J31,'Parameters'!$K$4:$L$16,2,FALSE))</f>
      </c>
      <c r="L25" t="s" s="480">
        <f>IF($H25="yes",IF($K25="Y",'Window &amp; Door DATA INPUT'!Q31,IF($K25="N",'Window &amp; Door DATA INPUT'!P31)),"")</f>
      </c>
      <c r="M25" t="s" s="480">
        <f>IF($H25="yes",IF($K25="Y",'Window &amp; Door DATA INPUT'!P31,IF($K25="N",'Window &amp; Door DATA INPUT'!Q31)),"")</f>
      </c>
      <c r="N25" t="s" s="480">
        <f>IF(L25="","",L25*M25)</f>
      </c>
      <c r="O25" t="s" s="414">
        <f>IF(AND(B25=1,C25=0,H25="yes"),"A",IF(AND(C25=1,H25="yes",'Window &amp; Door DATA INPUT'!R31="no"),"B",IF(AND(C25=1,H25="yes",'Window &amp; Door DATA INPUT'!R31="yes",'Window &amp; Door DATA INPUT'!S31="yes"),"C",IF(AND(C25=1,H25="yes",'Window &amp; Door DATA INPUT'!R31="yes",'Window &amp; Door DATA INPUT'!S31="no"),"D",""))))</f>
      </c>
      <c r="P25" t="s" s="414">
        <f>IF(AND(C25=1,H25="yes",OR(I25='Parameters'!$K$12,I25='Parameters'!$K$13,I25='Parameters'!$K$14)),"E",IF(AND(C25=1,H25="yes",NOT(OR(I25='Parameters'!$K$12,I25='Parameters'!$K$13,I25='Parameters'!$K$14))),"F",""))</f>
      </c>
      <c r="Q25" t="s" s="414">
        <f>IF(AND(B25=1,H25="yes"),VLOOKUP(I25,'Parameters'!$K$4:$M$16,3,FALSE),"")</f>
      </c>
      <c r="R25" t="s" s="414">
        <f>IF(AND(OR(O25="A",O25="B",O25="d"),Q25="input"),'Window &amp; Door DATA INPUT'!AA31,IF(AND(O25="C",Q25="input"),'Window &amp; Door DATA INPUT'!W31,Q25))</f>
      </c>
      <c r="S25" t="s" s="414">
        <f>IF('Window &amp; Door DATA INPUT'!X31="Yes",'Window &amp; Door DATA INPUT'!Y31/1000,IF(B25=1,"N/A",""))</f>
      </c>
      <c r="T25" t="s" s="480">
        <f>IF(Q25="calc",IF(P25="yes",'Window &amp; Door DATA INPUT'!U31/1000,('Parameters'!$S$4-'Window &amp; Door DATA INPUT'!Z31+'Parameters'!$Q$4)/1000),"")</f>
      </c>
      <c r="U25" t="s" s="480">
        <f>IF(Q25="calc",IF(T25&gt;M25,M25,T25),"")</f>
      </c>
      <c r="V25" t="s" s="480">
        <f>IF(AND(S25&gt;0,S25&lt;U25),S25,U25)</f>
      </c>
      <c r="W25" t="s" s="496">
        <f>IF(R25="calc",DEGREES(ASIN(V25/M25)),R25)</f>
      </c>
      <c r="X25" t="s" s="480">
        <f>IF(OR($H25="no",$B25=0),"",IF($I25='Parameters'!$K$15,$L25/($M25/2),$L25/$M25))</f>
      </c>
      <c r="Y25" t="s" s="480">
        <f>IF(OR($H25="no",$B25=0),"",IF($X25&lt;0.5,'Parameters'!$X$4,IF($X25&lt;1,'Parameters'!$Y$4,IF($X25&lt;2,'Parameters'!$Z$4,'Parameters'!$AA$4))))</f>
      </c>
      <c r="Z25" t="s" s="480">
        <f>IF(OR($H25="no",$B25=0),"",IF($X25&lt;0.5,'Parameters'!$X$5,IF($X25&lt;1,'Parameters'!$Y$5,IF($X25&lt;2,'Parameters'!$Z$5,'Parameters'!$AA$5))))</f>
      </c>
      <c r="AA25" t="s" s="480">
        <f>IF(OR($H25="no",$B25=0),"",IF($I25='Parameters'!$K$15,(2*($M25/2)*SIN(RADIANS($W25/2))),(2*$M25*SIN(RADIANS($W25/2)))))</f>
      </c>
      <c r="AB25" t="s" s="480">
        <f>IF(OR($H25="no",$B25=0),"",$Z25*(1-EXP(-$Y25*$W25)))</f>
      </c>
      <c r="AC25" t="s" s="480">
        <f>IF(OR($H25="no",$B25=0),"",IF($I25='Parameters'!$K$15,$AB25*$N25/2,$AB25*$N25))</f>
      </c>
      <c r="AD25" t="s" s="497">
        <f>IF(OR($H25="no",$B25=0),"",IF($I25='Parameters'!$K$15,$AC25*2/'Parameters'!$AB$4,$AC25/'Parameters'!$AB$4))</f>
      </c>
      <c r="AE25" t="s" s="487">
        <f>IF(AND(O25="B",Q25="calc"),V25,IF(AND(O25="C",Q25="calc"),'Window &amp; Door DATA INPUT'!T31/1000,""))</f>
      </c>
      <c r="AF25" t="s" s="414">
        <f>IF(AND(O25="B",Q25="input"),'Window &amp; Door DATA INPUT'!AA31,IF(AND(O25="C",Q25="input",P25="F"),'Window &amp; Door DATA INPUT'!V31,IF(AND(O25="C",P25="E"),0,IF(AND(O25="D"),0,IF(AND(B25=1,C25=0),"",(Q25))))))</f>
      </c>
      <c r="AG25" t="s" s="496">
        <f>IF(AF25="calc",DEGREES(ASIN(AE25/M25)),AF25)</f>
      </c>
      <c r="AH25" t="s" s="480">
        <f>IF(OR($H25="no",$C25=0),"",IF($I25='Parameters'!$K$15,$L25/($M25/2),$L25/$M25))</f>
      </c>
      <c r="AI25" t="s" s="480">
        <f>IF(OR($H25="no",$C25=0),"",IF($AH25&lt;0.5,'Parameters'!$X$4,IF($AH25&lt;1,'Parameters'!$Y$4,IF($AH25&lt;2,'Parameters'!$Z$4,'Parameters'!$AA$4))))</f>
      </c>
      <c r="AJ25" t="s" s="480">
        <f>IF(OR($H25="no",$C25=0),"",IF($AH25&lt;0.5,'Parameters'!$X$5,IF($AH25&lt;1,'Parameters'!$Y$5,IF($AH25&lt;2,'Parameters'!$Z$5,'Parameters'!$AA$5))))</f>
      </c>
      <c r="AK25" t="s" s="480">
        <f>IF(OR($H25="no",$C25=0),"",IF($I25='Parameters'!$K$15,(2*($M25/2)*SIN(RADIANS($AG25/2))),(2*$M25*SIN(RADIANS($AG25/2)))))</f>
      </c>
      <c r="AL25" t="s" s="480">
        <f>IF(OR($H25="no",$C25=0),"",$AJ25*(1-EXP(-$AI25*$AG25)))</f>
      </c>
      <c r="AM25" t="s" s="480">
        <f>IF(OR($H25="no",$C25=0),"",IF($I25='Parameters'!$K$15,$AL25*$N25/2,$AL25*$N25))</f>
      </c>
      <c r="AN25" t="s" s="497">
        <f>IF(OR($H25="no",$C25=0),"",IF($I25='Parameters'!$K$15,$AM25*2/'Parameters'!$AB$4,$AM25/'Parameters'!$AB$4))</f>
      </c>
      <c r="AO25" s="474"/>
      <c r="AP25" t="s" s="488">
        <f>'Parameters'!D25</f>
        <v>449</v>
      </c>
      <c r="AQ25" s="489">
        <f>IF(ISERROR(VLOOKUP($AP25,$D$4:$E$68,2,FALSE)),0,(VLOOKUP($AP25,$D$4:$E$68,2,FALSE)))</f>
        <v>0</v>
      </c>
      <c r="AR25" s="489">
        <f>_xlfn.SUMIFS($J$4:$J$68,$D$4:$D$68,AP25)</f>
        <v>0</v>
      </c>
      <c r="AS25" t="s" s="466">
        <f>IF(AQ25&gt;0,AR25/AQ25," ")</f>
        <v>421</v>
      </c>
      <c r="AT25" s="489">
        <f>_xlfn.SUMIFS($AD$4:$AD$68,$D$4:$D$68,AP25)</f>
        <v>0</v>
      </c>
      <c r="AU25" t="s" s="466">
        <f>IF(AR25=$BA$12,AS25,"")</f>
      </c>
      <c r="AV25" s="491"/>
      <c r="AW25" s="491"/>
      <c r="AX25" s="499"/>
      <c r="AY25" s="441"/>
      <c r="AZ25" s="441"/>
      <c r="BA25" s="441"/>
      <c r="BB25" s="441"/>
      <c r="BC25" s="500"/>
      <c r="BD25" s="500"/>
      <c r="BE25" s="500"/>
      <c r="BF25" s="441"/>
      <c r="BG25" s="441"/>
      <c r="BH25" s="441"/>
      <c r="BI25" s="441"/>
      <c r="BJ25" s="441"/>
      <c r="BK25" s="441"/>
      <c r="BL25" s="441"/>
    </row>
    <row r="26" ht="16" customHeight="1">
      <c r="A26" s="470"/>
      <c r="B26" s="479">
        <f>IF('Window &amp; Door DATA INPUT'!B32&gt;1,1,0)</f>
        <v>0</v>
      </c>
      <c r="C26" s="479">
        <f>IF(AND(B26=1,OR(D26='Parameters'!$D$17,D26='Parameters'!$D$18,D26='Parameters'!$D$19,D26='Parameters'!$D$20,D26='Parameters'!$D$21)),1,0)</f>
        <v>0</v>
      </c>
      <c r="D26" t="s" s="480">
        <f>IF('Window &amp; Door DATA INPUT'!B32="","",'Window &amp; Door DATA INPUT'!B32)</f>
      </c>
      <c r="E26" t="s" s="480">
        <f>IF('Window &amp; Door DATA INPUT'!D32="","",'Window &amp; Door DATA INPUT'!D32)</f>
      </c>
      <c r="F26" t="s" s="480">
        <f>IF(B26=1,'Window &amp; Door DATA INPUT'!H32&amp;'RESULTS'!$H$5,"")</f>
      </c>
      <c r="G26" t="s" s="480">
        <f>IF(B26=1,VLOOKUP(F26,'Parameters'!$H$4:$I$20,2,FALSE),"")</f>
      </c>
      <c r="H26" t="s" s="480">
        <f>IF(OR('Window &amp; Door DATA INPUT'!J32='Parameters'!$K$4,'Window &amp; Door DATA INPUT'!J32='Parameters'!$K$11),"No",IF('Window &amp; Door DATA INPUT'!K32="","",'Window &amp; Door DATA INPUT'!K32))</f>
      </c>
      <c r="I26" t="s" s="480">
        <f>IF('Window &amp; Door DATA INPUT'!J32="","",'Window &amp; Door DATA INPUT'!J32)</f>
      </c>
      <c r="J26" t="s" s="480">
        <f>IF('Window &amp; Door DATA INPUT'!L32='Parameters'!$O$5,'Window &amp; Door DATA INPUT'!O32,IF(B26=1,'Window &amp; Door DATA INPUT'!N32*'Window &amp; Door DATA INPUT'!M32,""))</f>
      </c>
      <c r="K26" t="s" s="414">
        <f>IF('Window &amp; Door DATA INPUT'!J32="","",VLOOKUP('Window &amp; Door DATA INPUT'!J32,'Parameters'!$K$4:$L$16,2,FALSE))</f>
      </c>
      <c r="L26" t="s" s="480">
        <f>IF($H26="yes",IF($K26="Y",'Window &amp; Door DATA INPUT'!Q32,IF($K26="N",'Window &amp; Door DATA INPUT'!P32)),"")</f>
      </c>
      <c r="M26" t="s" s="480">
        <f>IF($H26="yes",IF($K26="Y",'Window &amp; Door DATA INPUT'!P32,IF($K26="N",'Window &amp; Door DATA INPUT'!Q32)),"")</f>
      </c>
      <c r="N26" t="s" s="480">
        <f>IF(L26="","",L26*M26)</f>
      </c>
      <c r="O26" t="s" s="414">
        <f>IF(AND(B26=1,C26=0,H26="yes"),"A",IF(AND(C26=1,H26="yes",'Window &amp; Door DATA INPUT'!R32="no"),"B",IF(AND(C26=1,H26="yes",'Window &amp; Door DATA INPUT'!R32="yes",'Window &amp; Door DATA INPUT'!S32="yes"),"C",IF(AND(C26=1,H26="yes",'Window &amp; Door DATA INPUT'!R32="yes",'Window &amp; Door DATA INPUT'!S32="no"),"D",""))))</f>
      </c>
      <c r="P26" t="s" s="414">
        <f>IF(AND(C26=1,H26="yes",OR(I26='Parameters'!$K$12,I26='Parameters'!$K$13,I26='Parameters'!$K$14)),"E",IF(AND(C26=1,H26="yes",NOT(OR(I26='Parameters'!$K$12,I26='Parameters'!$K$13,I26='Parameters'!$K$14))),"F",""))</f>
      </c>
      <c r="Q26" t="s" s="414">
        <f>IF(AND(B26=1,H26="yes"),VLOOKUP(I26,'Parameters'!$K$4:$M$16,3,FALSE),"")</f>
      </c>
      <c r="R26" t="s" s="414">
        <f>IF(AND(OR(O26="A",O26="B",O26="d"),Q26="input"),'Window &amp; Door DATA INPUT'!AA32,IF(AND(O26="C",Q26="input"),'Window &amp; Door DATA INPUT'!W32,Q26))</f>
      </c>
      <c r="S26" t="s" s="414">
        <f>IF('Window &amp; Door DATA INPUT'!X32="Yes",'Window &amp; Door DATA INPUT'!Y32/1000,IF(B26=1,"N/A",""))</f>
      </c>
      <c r="T26" t="s" s="480">
        <f>IF(Q26="calc",IF(P26="yes",'Window &amp; Door DATA INPUT'!U32/1000,('Parameters'!$S$4-'Window &amp; Door DATA INPUT'!Z32+'Parameters'!$Q$4)/1000),"")</f>
      </c>
      <c r="U26" t="s" s="480">
        <f>IF(Q26="calc",IF(T26&gt;M26,M26,T26),"")</f>
      </c>
      <c r="V26" t="s" s="480">
        <f>IF(AND(S26&gt;0,S26&lt;U26),S26,U26)</f>
      </c>
      <c r="W26" t="s" s="496">
        <f>IF(R26="calc",DEGREES(ASIN(V26/M26)),R26)</f>
      </c>
      <c r="X26" t="s" s="480">
        <f>IF(OR($H26="no",$B26=0),"",IF($I26='Parameters'!$K$15,$L26/($M26/2),$L26/$M26))</f>
      </c>
      <c r="Y26" t="s" s="480">
        <f>IF(OR($H26="no",$B26=0),"",IF($X26&lt;0.5,'Parameters'!$X$4,IF($X26&lt;1,'Parameters'!$Y$4,IF($X26&lt;2,'Parameters'!$Z$4,'Parameters'!$AA$4))))</f>
      </c>
      <c r="Z26" t="s" s="480">
        <f>IF(OR($H26="no",$B26=0),"",IF($X26&lt;0.5,'Parameters'!$X$5,IF($X26&lt;1,'Parameters'!$Y$5,IF($X26&lt;2,'Parameters'!$Z$5,'Parameters'!$AA$5))))</f>
      </c>
      <c r="AA26" t="s" s="480">
        <f>IF(OR($H26="no",$B26=0),"",IF($I26='Parameters'!$K$15,(2*($M26/2)*SIN(RADIANS($W26/2))),(2*$M26*SIN(RADIANS($W26/2)))))</f>
      </c>
      <c r="AB26" t="s" s="480">
        <f>IF(OR($H26="no",$B26=0),"",$Z26*(1-EXP(-$Y26*$W26)))</f>
      </c>
      <c r="AC26" t="s" s="480">
        <f>IF(OR($H26="no",$B26=0),"",IF($I26='Parameters'!$K$15,$AB26*$N26/2,$AB26*$N26))</f>
      </c>
      <c r="AD26" t="s" s="497">
        <f>IF(OR($H26="no",$B26=0),"",IF($I26='Parameters'!$K$15,$AC26*2/'Parameters'!$AB$4,$AC26/'Parameters'!$AB$4))</f>
      </c>
      <c r="AE26" t="s" s="487">
        <f>IF(AND(O26="B",Q26="calc"),V26,IF(AND(O26="C",Q26="calc"),'Window &amp; Door DATA INPUT'!T32/1000,""))</f>
      </c>
      <c r="AF26" t="s" s="414">
        <f>IF(AND(O26="B",Q26="input"),'Window &amp; Door DATA INPUT'!AA32,IF(AND(O26="C",Q26="input",P26="F"),'Window &amp; Door DATA INPUT'!V32,IF(AND(O26="C",P26="E"),0,IF(AND(O26="D"),0,IF(AND(B26=1,C26=0),"",(Q26))))))</f>
      </c>
      <c r="AG26" t="s" s="496">
        <f>IF(AF26="calc",DEGREES(ASIN(AE26/M26)),AF26)</f>
      </c>
      <c r="AH26" t="s" s="480">
        <f>IF(OR($H26="no",$C26=0),"",IF($I26='Parameters'!$K$15,$L26/($M26/2),$L26/$M26))</f>
      </c>
      <c r="AI26" t="s" s="480">
        <f>IF(OR($H26="no",$C26=0),"",IF($AH26&lt;0.5,'Parameters'!$X$4,IF($AH26&lt;1,'Parameters'!$Y$4,IF($AH26&lt;2,'Parameters'!$Z$4,'Parameters'!$AA$4))))</f>
      </c>
      <c r="AJ26" t="s" s="480">
        <f>IF(OR($H26="no",$C26=0),"",IF($AH26&lt;0.5,'Parameters'!$X$5,IF($AH26&lt;1,'Parameters'!$Y$5,IF($AH26&lt;2,'Parameters'!$Z$5,'Parameters'!$AA$5))))</f>
      </c>
      <c r="AK26" t="s" s="480">
        <f>IF(OR($H26="no",$C26=0),"",IF($I26='Parameters'!$K$15,(2*($M26/2)*SIN(RADIANS($AG26/2))),(2*$M26*SIN(RADIANS($AG26/2)))))</f>
      </c>
      <c r="AL26" t="s" s="480">
        <f>IF(OR($H26="no",$C26=0),"",$AJ26*(1-EXP(-$AI26*$AG26)))</f>
      </c>
      <c r="AM26" t="s" s="480">
        <f>IF(OR($H26="no",$C26=0),"",IF($I26='Parameters'!$K$15,$AL26*$N26/2,$AL26*$N26))</f>
      </c>
      <c r="AN26" t="s" s="497">
        <f>IF(OR($H26="no",$C26=0),"",IF($I26='Parameters'!$K$15,$AM26*2/'Parameters'!$AB$4,$AM26/'Parameters'!$AB$4))</f>
      </c>
      <c r="AO26" s="474"/>
      <c r="AP26" t="s" s="488">
        <f>'Parameters'!D26</f>
        <v>450</v>
      </c>
      <c r="AQ26" s="489">
        <f>IF(ISERROR(VLOOKUP($AP26,$D$4:$E$68,2,FALSE)),0,(VLOOKUP($AP26,$D$4:$E$68,2,FALSE)))</f>
        <v>0</v>
      </c>
      <c r="AR26" s="489">
        <f>_xlfn.SUMIFS($J$4:$J$68,$D$4:$D$68,AP26)</f>
        <v>0</v>
      </c>
      <c r="AS26" t="s" s="466">
        <f>IF(AQ26&gt;0,AR26/AQ26," ")</f>
        <v>421</v>
      </c>
      <c r="AT26" s="489">
        <f>_xlfn.SUMIFS($AD$4:$AD$68,$D$4:$D$68,AP26)</f>
        <v>0</v>
      </c>
      <c r="AU26" t="s" s="466">
        <f>IF(AR26=$BA$12,AS26,"")</f>
      </c>
      <c r="AV26" s="491"/>
      <c r="AW26" s="491"/>
      <c r="AX26" s="499"/>
      <c r="AY26" s="441"/>
      <c r="AZ26" s="441"/>
      <c r="BA26" s="441"/>
      <c r="BB26" s="441"/>
      <c r="BC26" s="441"/>
      <c r="BD26" s="441"/>
      <c r="BE26" s="441"/>
      <c r="BF26" s="441"/>
      <c r="BG26" s="441"/>
      <c r="BH26" s="441"/>
      <c r="BI26" s="441"/>
      <c r="BJ26" s="441"/>
      <c r="BK26" s="441"/>
      <c r="BL26" s="441"/>
    </row>
    <row r="27" ht="16" customHeight="1">
      <c r="A27" s="470"/>
      <c r="B27" s="479">
        <f>IF('Window &amp; Door DATA INPUT'!B33&gt;1,1,0)</f>
        <v>0</v>
      </c>
      <c r="C27" s="479">
        <f>IF(AND(B27=1,OR(D27='Parameters'!$D$17,D27='Parameters'!$D$18,D27='Parameters'!$D$19,D27='Parameters'!$D$20,D27='Parameters'!$D$21)),1,0)</f>
        <v>0</v>
      </c>
      <c r="D27" t="s" s="480">
        <f>IF('Window &amp; Door DATA INPUT'!B33="","",'Window &amp; Door DATA INPUT'!B33)</f>
      </c>
      <c r="E27" t="s" s="480">
        <f>IF('Window &amp; Door DATA INPUT'!D33="","",'Window &amp; Door DATA INPUT'!D33)</f>
      </c>
      <c r="F27" t="s" s="480">
        <f>IF(B27=1,'Window &amp; Door DATA INPUT'!H33&amp;'RESULTS'!$H$5,"")</f>
      </c>
      <c r="G27" t="s" s="480">
        <f>IF(B27=1,VLOOKUP(F27,'Parameters'!$H$4:$I$20,2,FALSE),"")</f>
      </c>
      <c r="H27" t="s" s="480">
        <f>IF(OR('Window &amp; Door DATA INPUT'!J33='Parameters'!$K$4,'Window &amp; Door DATA INPUT'!J33='Parameters'!$K$11),"No",IF('Window &amp; Door DATA INPUT'!K33="","",'Window &amp; Door DATA INPUT'!K33))</f>
      </c>
      <c r="I27" t="s" s="480">
        <f>IF('Window &amp; Door DATA INPUT'!J33="","",'Window &amp; Door DATA INPUT'!J33)</f>
      </c>
      <c r="J27" t="s" s="480">
        <f>IF('Window &amp; Door DATA INPUT'!L33='Parameters'!$O$5,'Window &amp; Door DATA INPUT'!O33,IF(B27=1,'Window &amp; Door DATA INPUT'!N33*'Window &amp; Door DATA INPUT'!M33,""))</f>
      </c>
      <c r="K27" t="s" s="414">
        <f>IF('Window &amp; Door DATA INPUT'!J33="","",VLOOKUP('Window &amp; Door DATA INPUT'!J33,'Parameters'!$K$4:$L$16,2,FALSE))</f>
      </c>
      <c r="L27" t="s" s="480">
        <f>IF($H27="yes",IF($K27="Y",'Window &amp; Door DATA INPUT'!Q33,IF($K27="N",'Window &amp; Door DATA INPUT'!P33)),"")</f>
      </c>
      <c r="M27" t="s" s="480">
        <f>IF($H27="yes",IF($K27="Y",'Window &amp; Door DATA INPUT'!P33,IF($K27="N",'Window &amp; Door DATA INPUT'!Q33)),"")</f>
      </c>
      <c r="N27" t="s" s="480">
        <f>IF(L27="","",L27*M27)</f>
      </c>
      <c r="O27" t="s" s="414">
        <f>IF(AND(B27=1,C27=0,H27="yes"),"A",IF(AND(C27=1,H27="yes",'Window &amp; Door DATA INPUT'!R33="no"),"B",IF(AND(C27=1,H27="yes",'Window &amp; Door DATA INPUT'!R33="yes",'Window &amp; Door DATA INPUT'!S33="yes"),"C",IF(AND(C27=1,H27="yes",'Window &amp; Door DATA INPUT'!R33="yes",'Window &amp; Door DATA INPUT'!S33="no"),"D",""))))</f>
      </c>
      <c r="P27" t="s" s="414">
        <f>IF(AND(C27=1,H27="yes",OR(I27='Parameters'!$K$12,I27='Parameters'!$K$13,I27='Parameters'!$K$14)),"E",IF(AND(C27=1,H27="yes",NOT(OR(I27='Parameters'!$K$12,I27='Parameters'!$K$13,I27='Parameters'!$K$14))),"F",""))</f>
      </c>
      <c r="Q27" t="s" s="414">
        <f>IF(AND(B27=1,H27="yes"),VLOOKUP(I27,'Parameters'!$K$4:$M$16,3,FALSE),"")</f>
      </c>
      <c r="R27" t="s" s="414">
        <f>IF(AND(OR(O27="A",O27="B",O27="d"),Q27="input"),'Window &amp; Door DATA INPUT'!AA33,IF(AND(O27="C",Q27="input"),'Window &amp; Door DATA INPUT'!W33,Q27))</f>
      </c>
      <c r="S27" t="s" s="414">
        <f>IF('Window &amp; Door DATA INPUT'!X33="Yes",'Window &amp; Door DATA INPUT'!Y33/1000,IF(B27=1,"N/A",""))</f>
      </c>
      <c r="T27" t="s" s="480">
        <f>IF(Q27="calc",IF(P27="yes",'Window &amp; Door DATA INPUT'!U33/1000,('Parameters'!$S$4-'Window &amp; Door DATA INPUT'!Z33+'Parameters'!$Q$4)/1000),"")</f>
      </c>
      <c r="U27" t="s" s="480">
        <f>IF(Q27="calc",IF(T27&gt;M27,M27,T27),"")</f>
      </c>
      <c r="V27" t="s" s="480">
        <f>IF(AND(S27&gt;0,S27&lt;U27),S27,U27)</f>
      </c>
      <c r="W27" t="s" s="496">
        <f>IF(R27="calc",DEGREES(ASIN(V27/M27)),R27)</f>
      </c>
      <c r="X27" t="s" s="480">
        <f>IF(OR($H27="no",$B27=0),"",IF($I27='Parameters'!$K$15,$L27/($M27/2),$L27/$M27))</f>
      </c>
      <c r="Y27" t="s" s="480">
        <f>IF(OR($H27="no",$B27=0),"",IF($X27&lt;0.5,'Parameters'!$X$4,IF($X27&lt;1,'Parameters'!$Y$4,IF($X27&lt;2,'Parameters'!$Z$4,'Parameters'!$AA$4))))</f>
      </c>
      <c r="Z27" t="s" s="480">
        <f>IF(OR($H27="no",$B27=0),"",IF($X27&lt;0.5,'Parameters'!$X$5,IF($X27&lt;1,'Parameters'!$Y$5,IF($X27&lt;2,'Parameters'!$Z$5,'Parameters'!$AA$5))))</f>
      </c>
      <c r="AA27" t="s" s="480">
        <f>IF(OR($H27="no",$B27=0),"",IF($I27='Parameters'!$K$15,(2*($M27/2)*SIN(RADIANS($W27/2))),(2*$M27*SIN(RADIANS($W27/2)))))</f>
      </c>
      <c r="AB27" t="s" s="480">
        <f>IF(OR($H27="no",$B27=0),"",$Z27*(1-EXP(-$Y27*$W27)))</f>
      </c>
      <c r="AC27" t="s" s="480">
        <f>IF(OR($H27="no",$B27=0),"",IF($I27='Parameters'!$K$15,$AB27*$N27/2,$AB27*$N27))</f>
      </c>
      <c r="AD27" t="s" s="497">
        <f>IF(OR($H27="no",$B27=0),"",IF($I27='Parameters'!$K$15,$AC27*2/'Parameters'!$AB$4,$AC27/'Parameters'!$AB$4))</f>
      </c>
      <c r="AE27" t="s" s="487">
        <f>IF(AND(O27="B",Q27="calc"),V27,IF(AND(O27="C",Q27="calc"),'Window &amp; Door DATA INPUT'!T33/1000,""))</f>
      </c>
      <c r="AF27" t="s" s="414">
        <f>IF(AND(O27="B",Q27="input"),'Window &amp; Door DATA INPUT'!AA33,IF(AND(O27="C",Q27="input",P27="F"),'Window &amp; Door DATA INPUT'!V33,IF(AND(O27="C",P27="E"),0,IF(AND(O27="D"),0,IF(AND(B27=1,C27=0),"",(Q27))))))</f>
      </c>
      <c r="AG27" t="s" s="496">
        <f>IF(AF27="calc",DEGREES(ASIN(AE27/M27)),AF27)</f>
      </c>
      <c r="AH27" t="s" s="480">
        <f>IF(OR($H27="no",$C27=0),"",IF($I27='Parameters'!$K$15,$L27/($M27/2),$L27/$M27))</f>
      </c>
      <c r="AI27" t="s" s="480">
        <f>IF(OR($H27="no",$C27=0),"",IF($AH27&lt;0.5,'Parameters'!$X$4,IF($AH27&lt;1,'Parameters'!$Y$4,IF($AH27&lt;2,'Parameters'!$Z$4,'Parameters'!$AA$4))))</f>
      </c>
      <c r="AJ27" t="s" s="480">
        <f>IF(OR($H27="no",$C27=0),"",IF($AH27&lt;0.5,'Parameters'!$X$5,IF($AH27&lt;1,'Parameters'!$Y$5,IF($AH27&lt;2,'Parameters'!$Z$5,'Parameters'!$AA$5))))</f>
      </c>
      <c r="AK27" t="s" s="480">
        <f>IF(OR($H27="no",$C27=0),"",IF($I27='Parameters'!$K$15,(2*($M27/2)*SIN(RADIANS($AG27/2))),(2*$M27*SIN(RADIANS($AG27/2)))))</f>
      </c>
      <c r="AL27" t="s" s="480">
        <f>IF(OR($H27="no",$C27=0),"",$AJ27*(1-EXP(-$AI27*$AG27)))</f>
      </c>
      <c r="AM27" t="s" s="480">
        <f>IF(OR($H27="no",$C27=0),"",IF($I27='Parameters'!$K$15,$AL27*$N27/2,$AL27*$N27))</f>
      </c>
      <c r="AN27" t="s" s="497">
        <f>IF(OR($H27="no",$C27=0),"",IF($I27='Parameters'!$K$15,$AM27*2/'Parameters'!$AB$4,$AM27/'Parameters'!$AB$4))</f>
      </c>
      <c r="AO27" s="474"/>
      <c r="AP27" t="s" s="488">
        <f>'Parameters'!D27</f>
        <v>184</v>
      </c>
      <c r="AQ27" s="489">
        <f>IF(ISERROR(VLOOKUP($AP27,$D$4:$E$68,2,FALSE)),0,(VLOOKUP($AP27,$D$4:$E$68,2,FALSE)))</f>
        <v>6.4</v>
      </c>
      <c r="AR27" s="489">
        <f>_xlfn.SUMIFS($J$4:$J$68,$D$4:$D$68,AP27)</f>
        <v>0.4368</v>
      </c>
      <c r="AS27" s="490">
        <f>IF(AQ27&gt;0,AR27/AQ27," ")</f>
        <v>0.06825000000000001</v>
      </c>
      <c r="AT27" s="489">
        <f>_xlfn.SUMIFS($AD$4:$AD$68,$D$4:$D$68,AP27)</f>
        <v>0</v>
      </c>
      <c r="AU27" t="s" s="466">
        <f>IF(AR27=$BA$12,AS27,"")</f>
      </c>
      <c r="AV27" s="491"/>
      <c r="AW27" s="491"/>
      <c r="AX27" s="499"/>
      <c r="AY27" s="441"/>
      <c r="AZ27" s="441"/>
      <c r="BA27" s="441"/>
      <c r="BB27" s="441"/>
      <c r="BC27" s="441"/>
      <c r="BD27" s="441"/>
      <c r="BE27" s="441"/>
      <c r="BF27" s="441"/>
      <c r="BG27" s="441"/>
      <c r="BH27" s="441"/>
      <c r="BI27" s="441"/>
      <c r="BJ27" s="441"/>
      <c r="BK27" s="441"/>
      <c r="BL27" s="441"/>
    </row>
    <row r="28" ht="16" customHeight="1">
      <c r="A28" s="470"/>
      <c r="B28" s="479">
        <f>IF('Window &amp; Door DATA INPUT'!B34&gt;1,1,0)</f>
        <v>0</v>
      </c>
      <c r="C28" s="479">
        <f>IF(AND(B28=1,OR(D28='Parameters'!$D$17,D28='Parameters'!$D$18,D28='Parameters'!$D$19,D28='Parameters'!$D$20,D28='Parameters'!$D$21)),1,0)</f>
        <v>0</v>
      </c>
      <c r="D28" t="s" s="480">
        <f>IF('Window &amp; Door DATA INPUT'!B34="","",'Window &amp; Door DATA INPUT'!B34)</f>
      </c>
      <c r="E28" t="s" s="480">
        <f>IF('Window &amp; Door DATA INPUT'!D34="","",'Window &amp; Door DATA INPUT'!D34)</f>
      </c>
      <c r="F28" t="s" s="480">
        <f>IF(B28=1,'Window &amp; Door DATA INPUT'!H34&amp;'RESULTS'!$H$5,"")</f>
      </c>
      <c r="G28" t="s" s="480">
        <f>IF(B28=1,VLOOKUP(F28,'Parameters'!$H$4:$I$20,2,FALSE),"")</f>
      </c>
      <c r="H28" t="s" s="480">
        <f>IF(OR('Window &amp; Door DATA INPUT'!J34='Parameters'!$K$4,'Window &amp; Door DATA INPUT'!J34='Parameters'!$K$11),"No",IF('Window &amp; Door DATA INPUT'!K34="","",'Window &amp; Door DATA INPUT'!K34))</f>
      </c>
      <c r="I28" t="s" s="480">
        <f>IF('Window &amp; Door DATA INPUT'!J34="","",'Window &amp; Door DATA INPUT'!J34)</f>
      </c>
      <c r="J28" t="s" s="480">
        <f>IF('Window &amp; Door DATA INPUT'!L34='Parameters'!$O$5,'Window &amp; Door DATA INPUT'!O34,IF(B28=1,'Window &amp; Door DATA INPUT'!N34*'Window &amp; Door DATA INPUT'!M34,""))</f>
      </c>
      <c r="K28" t="s" s="414">
        <f>IF('Window &amp; Door DATA INPUT'!J34="","",VLOOKUP('Window &amp; Door DATA INPUT'!J34,'Parameters'!$K$4:$L$16,2,FALSE))</f>
      </c>
      <c r="L28" t="s" s="480">
        <f>IF($H28="yes",IF($K28="Y",'Window &amp; Door DATA INPUT'!Q34,IF($K28="N",'Window &amp; Door DATA INPUT'!P34)),"")</f>
      </c>
      <c r="M28" t="s" s="480">
        <f>IF($H28="yes",IF($K28="Y",'Window &amp; Door DATA INPUT'!P34,IF($K28="N",'Window &amp; Door DATA INPUT'!Q34)),"")</f>
      </c>
      <c r="N28" t="s" s="480">
        <f>IF(L28="","",L28*M28)</f>
      </c>
      <c r="O28" t="s" s="414">
        <f>IF(AND(B28=1,C28=0,H28="yes"),"A",IF(AND(C28=1,H28="yes",'Window &amp; Door DATA INPUT'!R34="no"),"B",IF(AND(C28=1,H28="yes",'Window &amp; Door DATA INPUT'!R34="yes",'Window &amp; Door DATA INPUT'!S34="yes"),"C",IF(AND(C28=1,H28="yes",'Window &amp; Door DATA INPUT'!R34="yes",'Window &amp; Door DATA INPUT'!S34="no"),"D",""))))</f>
      </c>
      <c r="P28" t="s" s="414">
        <f>IF(AND(C28=1,H28="yes",OR(I28='Parameters'!$K$12,I28='Parameters'!$K$13,I28='Parameters'!$K$14)),"E",IF(AND(C28=1,H28="yes",NOT(OR(I28='Parameters'!$K$12,I28='Parameters'!$K$13,I28='Parameters'!$K$14))),"F",""))</f>
      </c>
      <c r="Q28" t="s" s="414">
        <f>IF(AND(B28=1,H28="yes"),VLOOKUP(I28,'Parameters'!$K$4:$M$16,3,FALSE),"")</f>
      </c>
      <c r="R28" t="s" s="414">
        <f>IF(AND(OR(O28="A",O28="B",O28="d"),Q28="input"),'Window &amp; Door DATA INPUT'!AA34,IF(AND(O28="C",Q28="input"),'Window &amp; Door DATA INPUT'!W34,Q28))</f>
      </c>
      <c r="S28" t="s" s="414">
        <f>IF('Window &amp; Door DATA INPUT'!X34="Yes",'Window &amp; Door DATA INPUT'!Y34/1000,IF(B28=1,"N/A",""))</f>
      </c>
      <c r="T28" t="s" s="480">
        <f>IF(Q28="calc",IF(P28="yes",'Window &amp; Door DATA INPUT'!U34/1000,('Parameters'!$S$4-'Window &amp; Door DATA INPUT'!Z34+'Parameters'!$Q$4)/1000),"")</f>
      </c>
      <c r="U28" t="s" s="480">
        <f>IF(Q28="calc",IF(T28&gt;M28,M28,T28),"")</f>
      </c>
      <c r="V28" t="s" s="480">
        <f>IF(AND(S28&gt;0,S28&lt;U28),S28,U28)</f>
      </c>
      <c r="W28" t="s" s="496">
        <f>IF(R28="calc",DEGREES(ASIN(V28/M28)),R28)</f>
      </c>
      <c r="X28" t="s" s="480">
        <f>IF(OR($H28="no",$B28=0),"",IF($I28='Parameters'!$K$15,$L28/($M28/2),$L28/$M28))</f>
      </c>
      <c r="Y28" t="s" s="480">
        <f>IF(OR($H28="no",$B28=0),"",IF($X28&lt;0.5,'Parameters'!$X$4,IF($X28&lt;1,'Parameters'!$Y$4,IF($X28&lt;2,'Parameters'!$Z$4,'Parameters'!$AA$4))))</f>
      </c>
      <c r="Z28" t="s" s="480">
        <f>IF(OR($H28="no",$B28=0),"",IF($X28&lt;0.5,'Parameters'!$X$5,IF($X28&lt;1,'Parameters'!$Y$5,IF($X28&lt;2,'Parameters'!$Z$5,'Parameters'!$AA$5))))</f>
      </c>
      <c r="AA28" t="s" s="480">
        <f>IF(OR($H28="no",$B28=0),"",IF($I28='Parameters'!$K$15,(2*($M28/2)*SIN(RADIANS($W28/2))),(2*$M28*SIN(RADIANS($W28/2)))))</f>
      </c>
      <c r="AB28" t="s" s="480">
        <f>IF(OR($H28="no",$B28=0),"",$Z28*(1-EXP(-$Y28*$W28)))</f>
      </c>
      <c r="AC28" t="s" s="480">
        <f>IF(OR($H28="no",$B28=0),"",IF($I28='Parameters'!$K$15,$AB28*$N28/2,$AB28*$N28))</f>
      </c>
      <c r="AD28" t="s" s="497">
        <f>IF(OR($H28="no",$B28=0),"",IF($I28='Parameters'!$K$15,$AC28*2/'Parameters'!$AB$4,$AC28/'Parameters'!$AB$4))</f>
      </c>
      <c r="AE28" t="s" s="487">
        <f>IF(AND(O28="B",Q28="calc"),V28,IF(AND(O28="C",Q28="calc"),'Window &amp; Door DATA INPUT'!T34/1000,""))</f>
      </c>
      <c r="AF28" t="s" s="414">
        <f>IF(AND(O28="B",Q28="input"),'Window &amp; Door DATA INPUT'!AA34,IF(AND(O28="C",Q28="input",P28="F"),'Window &amp; Door DATA INPUT'!V34,IF(AND(O28="C",P28="E"),0,IF(AND(O28="D"),0,IF(AND(B28=1,C28=0),"",(Q28))))))</f>
      </c>
      <c r="AG28" t="s" s="496">
        <f>IF(AF28="calc",DEGREES(ASIN(AE28/M28)),AF28)</f>
      </c>
      <c r="AH28" t="s" s="480">
        <f>IF(OR($H28="no",$C28=0),"",IF($I28='Parameters'!$K$15,$L28/($M28/2),$L28/$M28))</f>
      </c>
      <c r="AI28" t="s" s="480">
        <f>IF(OR($H28="no",$C28=0),"",IF($AH28&lt;0.5,'Parameters'!$X$4,IF($AH28&lt;1,'Parameters'!$Y$4,IF($AH28&lt;2,'Parameters'!$Z$4,'Parameters'!$AA$4))))</f>
      </c>
      <c r="AJ28" t="s" s="480">
        <f>IF(OR($H28="no",$C28=0),"",IF($AH28&lt;0.5,'Parameters'!$X$5,IF($AH28&lt;1,'Parameters'!$Y$5,IF($AH28&lt;2,'Parameters'!$Z$5,'Parameters'!$AA$5))))</f>
      </c>
      <c r="AK28" t="s" s="480">
        <f>IF(OR($H28="no",$C28=0),"",IF($I28='Parameters'!$K$15,(2*($M28/2)*SIN(RADIANS($AG28/2))),(2*$M28*SIN(RADIANS($AG28/2)))))</f>
      </c>
      <c r="AL28" t="s" s="480">
        <f>IF(OR($H28="no",$C28=0),"",$AJ28*(1-EXP(-$AI28*$AG28)))</f>
      </c>
      <c r="AM28" t="s" s="480">
        <f>IF(OR($H28="no",$C28=0),"",IF($I28='Parameters'!$K$15,$AL28*$N28/2,$AL28*$N28))</f>
      </c>
      <c r="AN28" t="s" s="497">
        <f>IF(OR($H28="no",$C28=0),"",IF($I28='Parameters'!$K$15,$AM28*2/'Parameters'!$AB$4,$AM28/'Parameters'!$AB$4))</f>
      </c>
      <c r="AO28" s="474"/>
      <c r="AP28" t="s" s="488">
        <f>'Parameters'!D28</f>
        <v>451</v>
      </c>
      <c r="AQ28" s="489">
        <f>IF(ISERROR(VLOOKUP($AP28,$D$4:$E$68,2,FALSE)),0,(VLOOKUP($AP28,$D$4:$E$68,2,FALSE)))</f>
        <v>0</v>
      </c>
      <c r="AR28" s="489">
        <f>_xlfn.SUMIFS($J$4:$J$68,$D$4:$D$68,AP28)</f>
        <v>0</v>
      </c>
      <c r="AS28" t="s" s="466">
        <f>IF(AQ28&gt;0,AR28/AQ28," ")</f>
        <v>421</v>
      </c>
      <c r="AT28" s="489">
        <f>_xlfn.SUMIFS($AD$4:$AD$68,$D$4:$D$68,AP28)</f>
        <v>0</v>
      </c>
      <c r="AU28" t="s" s="466">
        <f>IF(AR28=$BA$12,AS28,"")</f>
      </c>
      <c r="AV28" s="491"/>
      <c r="AW28" s="491"/>
      <c r="AX28" s="499"/>
      <c r="AY28" s="441"/>
      <c r="AZ28" s="441"/>
      <c r="BA28" s="441"/>
      <c r="BB28" s="441"/>
      <c r="BC28" s="441"/>
      <c r="BD28" s="441"/>
      <c r="BE28" s="441"/>
      <c r="BF28" s="441"/>
      <c r="BG28" s="441"/>
      <c r="BH28" s="441"/>
      <c r="BI28" s="441"/>
      <c r="BJ28" s="441"/>
      <c r="BK28" s="441"/>
      <c r="BL28" s="441"/>
    </row>
    <row r="29" ht="16" customHeight="1">
      <c r="A29" s="470"/>
      <c r="B29" s="479">
        <f>IF('Window &amp; Door DATA INPUT'!B35&gt;1,1,0)</f>
        <v>0</v>
      </c>
      <c r="C29" s="479">
        <f>IF(AND(B29=1,OR(D29='Parameters'!$D$17,D29='Parameters'!$D$18,D29='Parameters'!$D$19,D29='Parameters'!$D$20,D29='Parameters'!$D$21)),1,0)</f>
        <v>0</v>
      </c>
      <c r="D29" t="s" s="480">
        <f>IF('Window &amp; Door DATA INPUT'!B35="","",'Window &amp; Door DATA INPUT'!B35)</f>
      </c>
      <c r="E29" t="s" s="480">
        <f>IF('Window &amp; Door DATA INPUT'!D35="","",'Window &amp; Door DATA INPUT'!D35)</f>
      </c>
      <c r="F29" t="s" s="480">
        <f>IF(B29=1,'Window &amp; Door DATA INPUT'!H35&amp;'RESULTS'!$H$5,"")</f>
      </c>
      <c r="G29" t="s" s="480">
        <f>IF(B29=1,VLOOKUP(F29,'Parameters'!$H$4:$I$20,2,FALSE),"")</f>
      </c>
      <c r="H29" t="s" s="480">
        <f>IF(OR('Window &amp; Door DATA INPUT'!J35='Parameters'!$K$4,'Window &amp; Door DATA INPUT'!J35='Parameters'!$K$11),"No",IF('Window &amp; Door DATA INPUT'!K35="","",'Window &amp; Door DATA INPUT'!K35))</f>
      </c>
      <c r="I29" t="s" s="480">
        <f>IF('Window &amp; Door DATA INPUT'!J35="","",'Window &amp; Door DATA INPUT'!J35)</f>
      </c>
      <c r="J29" t="s" s="480">
        <f>IF('Window &amp; Door DATA INPUT'!L35='Parameters'!$O$5,'Window &amp; Door DATA INPUT'!O35,IF(B29=1,'Window &amp; Door DATA INPUT'!N35*'Window &amp; Door DATA INPUT'!M35,""))</f>
      </c>
      <c r="K29" t="s" s="414">
        <f>IF('Window &amp; Door DATA INPUT'!J35="","",VLOOKUP('Window &amp; Door DATA INPUT'!J35,'Parameters'!$K$4:$L$16,2,FALSE))</f>
      </c>
      <c r="L29" t="s" s="480">
        <f>IF($H29="yes",IF($K29="Y",'Window &amp; Door DATA INPUT'!Q35,IF($K29="N",'Window &amp; Door DATA INPUT'!P35)),"")</f>
      </c>
      <c r="M29" t="s" s="480">
        <f>IF($H29="yes",IF($K29="Y",'Window &amp; Door DATA INPUT'!P35,IF($K29="N",'Window &amp; Door DATA INPUT'!Q35)),"")</f>
      </c>
      <c r="N29" t="s" s="480">
        <f>IF(L29="","",L29*M29)</f>
      </c>
      <c r="O29" t="s" s="414">
        <f>IF(AND(B29=1,C29=0,H29="yes"),"A",IF(AND(C29=1,H29="yes",'Window &amp; Door DATA INPUT'!R35="no"),"B",IF(AND(C29=1,H29="yes",'Window &amp; Door DATA INPUT'!R35="yes",'Window &amp; Door DATA INPUT'!S35="yes"),"C",IF(AND(C29=1,H29="yes",'Window &amp; Door DATA INPUT'!R35="yes",'Window &amp; Door DATA INPUT'!S35="no"),"D",""))))</f>
      </c>
      <c r="P29" t="s" s="414">
        <f>IF(AND(C29=1,H29="yes",OR(I29='Parameters'!$K$12,I29='Parameters'!$K$13,I29='Parameters'!$K$14)),"E",IF(AND(C29=1,H29="yes",NOT(OR(I29='Parameters'!$K$12,I29='Parameters'!$K$13,I29='Parameters'!$K$14))),"F",""))</f>
      </c>
      <c r="Q29" t="s" s="414">
        <f>IF(AND(B29=1,H29="yes"),VLOOKUP(I29,'Parameters'!$K$4:$M$16,3,FALSE),"")</f>
      </c>
      <c r="R29" t="s" s="414">
        <f>IF(AND(OR(O29="A",O29="B",O29="d"),Q29="input"),'Window &amp; Door DATA INPUT'!AA35,IF(AND(O29="C",Q29="input"),'Window &amp; Door DATA INPUT'!W35,Q29))</f>
      </c>
      <c r="S29" t="s" s="414">
        <f>IF('Window &amp; Door DATA INPUT'!X35="Yes",'Window &amp; Door DATA INPUT'!Y35/1000,IF(B29=1,"N/A",""))</f>
      </c>
      <c r="T29" t="s" s="480">
        <f>IF(Q29="calc",IF(P29="yes",'Window &amp; Door DATA INPUT'!U35/1000,('Parameters'!$S$4-'Window &amp; Door DATA INPUT'!Z35+'Parameters'!$Q$4)/1000),"")</f>
      </c>
      <c r="U29" t="s" s="480">
        <f>IF(Q29="calc",IF(T29&gt;M29,M29,T29),"")</f>
      </c>
      <c r="V29" t="s" s="480">
        <f>IF(AND(S29&gt;0,S29&lt;U29),S29,U29)</f>
      </c>
      <c r="W29" t="s" s="496">
        <f>IF(R29="calc",DEGREES(ASIN(V29/M29)),R29)</f>
      </c>
      <c r="X29" t="s" s="480">
        <f>IF(OR($H29="no",$B29=0),"",IF($I29='Parameters'!$K$15,$L29/($M29/2),$L29/$M29))</f>
      </c>
      <c r="Y29" t="s" s="480">
        <f>IF(OR($H29="no",$B29=0),"",IF($X29&lt;0.5,'Parameters'!$X$4,IF($X29&lt;1,'Parameters'!$Y$4,IF($X29&lt;2,'Parameters'!$Z$4,'Parameters'!$AA$4))))</f>
      </c>
      <c r="Z29" t="s" s="480">
        <f>IF(OR($H29="no",$B29=0),"",IF($X29&lt;0.5,'Parameters'!$X$5,IF($X29&lt;1,'Parameters'!$Y$5,IF($X29&lt;2,'Parameters'!$Z$5,'Parameters'!$AA$5))))</f>
      </c>
      <c r="AA29" t="s" s="480">
        <f>IF(OR($H29="no",$B29=0),"",IF($I29='Parameters'!$K$15,(2*($M29/2)*SIN(RADIANS($W29/2))),(2*$M29*SIN(RADIANS($W29/2)))))</f>
      </c>
      <c r="AB29" t="s" s="480">
        <f>IF(OR($H29="no",$B29=0),"",$Z29*(1-EXP(-$Y29*$W29)))</f>
      </c>
      <c r="AC29" t="s" s="480">
        <f>IF(OR($H29="no",$B29=0),"",IF($I29='Parameters'!$K$15,$AB29*$N29/2,$AB29*$N29))</f>
      </c>
      <c r="AD29" t="s" s="497">
        <f>IF(OR($H29="no",$B29=0),"",IF($I29='Parameters'!$K$15,$AC29*2/'Parameters'!$AB$4,$AC29/'Parameters'!$AB$4))</f>
      </c>
      <c r="AE29" t="s" s="487">
        <f>IF(AND(O29="B",Q29="calc"),V29,IF(AND(O29="C",Q29="calc"),'Window &amp; Door DATA INPUT'!T35/1000,""))</f>
      </c>
      <c r="AF29" t="s" s="414">
        <f>IF(AND(O29="B",Q29="input"),'Window &amp; Door DATA INPUT'!AA35,IF(AND(O29="C",Q29="input",P29="F"),'Window &amp; Door DATA INPUT'!V35,IF(AND(O29="C",P29="E"),0,IF(AND(O29="D"),0,IF(AND(B29=1,C29=0),"",(Q29))))))</f>
      </c>
      <c r="AG29" t="s" s="496">
        <f>IF(AF29="calc",DEGREES(ASIN(AE29/M29)),AF29)</f>
      </c>
      <c r="AH29" t="s" s="480">
        <f>IF(OR($H29="no",$C29=0),"",IF($I29='Parameters'!$K$15,$L29/($M29/2),$L29/$M29))</f>
      </c>
      <c r="AI29" t="s" s="480">
        <f>IF(OR($H29="no",$C29=0),"",IF($AH29&lt;0.5,'Parameters'!$X$4,IF($AH29&lt;1,'Parameters'!$Y$4,IF($AH29&lt;2,'Parameters'!$Z$4,'Parameters'!$AA$4))))</f>
      </c>
      <c r="AJ29" t="s" s="480">
        <f>IF(OR($H29="no",$C29=0),"",IF($AH29&lt;0.5,'Parameters'!$X$5,IF($AH29&lt;1,'Parameters'!$Y$5,IF($AH29&lt;2,'Parameters'!$Z$5,'Parameters'!$AA$5))))</f>
      </c>
      <c r="AK29" t="s" s="480">
        <f>IF(OR($H29="no",$C29=0),"",IF($I29='Parameters'!$K$15,(2*($M29/2)*SIN(RADIANS($AG29/2))),(2*$M29*SIN(RADIANS($AG29/2)))))</f>
      </c>
      <c r="AL29" t="s" s="480">
        <f>IF(OR($H29="no",$C29=0),"",$AJ29*(1-EXP(-$AI29*$AG29)))</f>
      </c>
      <c r="AM29" t="s" s="480">
        <f>IF(OR($H29="no",$C29=0),"",IF($I29='Parameters'!$K$15,$AL29*$N29/2,$AL29*$N29))</f>
      </c>
      <c r="AN29" t="s" s="497">
        <f>IF(OR($H29="no",$C29=0),"",IF($I29='Parameters'!$K$15,$AM29*2/'Parameters'!$AB$4,$AM29/'Parameters'!$AB$4))</f>
      </c>
      <c r="AO29" s="510"/>
      <c r="AP29" s="500"/>
      <c r="AQ29" s="500"/>
      <c r="AR29" s="500"/>
      <c r="AS29" s="500"/>
      <c r="AT29" s="500"/>
      <c r="AU29" s="500"/>
      <c r="AV29" s="500"/>
      <c r="AW29" s="500"/>
      <c r="AX29" s="511"/>
      <c r="AY29" s="441"/>
      <c r="AZ29" s="441"/>
      <c r="BA29" s="441"/>
      <c r="BB29" s="441"/>
      <c r="BC29" s="441"/>
      <c r="BD29" s="441"/>
      <c r="BE29" s="441"/>
      <c r="BF29" s="441"/>
      <c r="BG29" s="441"/>
      <c r="BH29" s="441"/>
      <c r="BI29" s="441"/>
      <c r="BJ29" s="441"/>
      <c r="BK29" s="441"/>
      <c r="BL29" s="441"/>
    </row>
    <row r="30" ht="16" customHeight="1">
      <c r="A30" s="470"/>
      <c r="B30" s="479">
        <f>IF('Window &amp; Door DATA INPUT'!B36&gt;1,1,0)</f>
        <v>0</v>
      </c>
      <c r="C30" s="479">
        <f>IF(AND(B30=1,OR(D30='Parameters'!$D$17,D30='Parameters'!$D$18,D30='Parameters'!$D$19,D30='Parameters'!$D$20,D30='Parameters'!$D$21)),1,0)</f>
        <v>0</v>
      </c>
      <c r="D30" t="s" s="480">
        <f>IF('Window &amp; Door DATA INPUT'!B36="","",'Window &amp; Door DATA INPUT'!B36)</f>
      </c>
      <c r="E30" t="s" s="480">
        <f>IF('Window &amp; Door DATA INPUT'!D36="","",'Window &amp; Door DATA INPUT'!D36)</f>
      </c>
      <c r="F30" t="s" s="480">
        <f>IF(B30=1,'Window &amp; Door DATA INPUT'!H36&amp;'RESULTS'!$H$5,"")</f>
      </c>
      <c r="G30" t="s" s="480">
        <f>IF(B30=1,VLOOKUP(F30,'Parameters'!$H$4:$I$20,2,FALSE),"")</f>
      </c>
      <c r="H30" t="s" s="480">
        <f>IF(OR('Window &amp; Door DATA INPUT'!J36='Parameters'!$K$4,'Window &amp; Door DATA INPUT'!J36='Parameters'!$K$11),"No",IF('Window &amp; Door DATA INPUT'!K36="","",'Window &amp; Door DATA INPUT'!K36))</f>
      </c>
      <c r="I30" t="s" s="480">
        <f>IF('Window &amp; Door DATA INPUT'!J36="","",'Window &amp; Door DATA INPUT'!J36)</f>
      </c>
      <c r="J30" t="s" s="480">
        <f>IF('Window &amp; Door DATA INPUT'!L36='Parameters'!$O$5,'Window &amp; Door DATA INPUT'!O36,IF(B30=1,'Window &amp; Door DATA INPUT'!N36*'Window &amp; Door DATA INPUT'!M36,""))</f>
      </c>
      <c r="K30" t="s" s="414">
        <f>IF('Window &amp; Door DATA INPUT'!J36="","",VLOOKUP('Window &amp; Door DATA INPUT'!J36,'Parameters'!$K$4:$L$16,2,FALSE))</f>
      </c>
      <c r="L30" t="s" s="480">
        <f>IF($H30="yes",IF($K30="Y",'Window &amp; Door DATA INPUT'!Q36,IF($K30="N",'Window &amp; Door DATA INPUT'!P36)),"")</f>
      </c>
      <c r="M30" t="s" s="480">
        <f>IF($H30="yes",IF($K30="Y",'Window &amp; Door DATA INPUT'!P36,IF($K30="N",'Window &amp; Door DATA INPUT'!Q36)),"")</f>
      </c>
      <c r="N30" t="s" s="480">
        <f>IF(L30="","",L30*M30)</f>
      </c>
      <c r="O30" t="s" s="414">
        <f>IF(AND(B30=1,C30=0,H30="yes"),"A",IF(AND(C30=1,H30="yes",'Window &amp; Door DATA INPUT'!R36="no"),"B",IF(AND(C30=1,H30="yes",'Window &amp; Door DATA INPUT'!R36="yes",'Window &amp; Door DATA INPUT'!S36="yes"),"C",IF(AND(C30=1,H30="yes",'Window &amp; Door DATA INPUT'!R36="yes",'Window &amp; Door DATA INPUT'!S36="no"),"D",""))))</f>
      </c>
      <c r="P30" t="s" s="414">
        <f>IF(AND(C30=1,H30="yes",OR(I30='Parameters'!$K$12,I30='Parameters'!$K$13,I30='Parameters'!$K$14)),"E",IF(AND(C30=1,H30="yes",NOT(OR(I30='Parameters'!$K$12,I30='Parameters'!$K$13,I30='Parameters'!$K$14))),"F",""))</f>
      </c>
      <c r="Q30" t="s" s="414">
        <f>IF(AND(B30=1,H30="yes"),VLOOKUP(I30,'Parameters'!$K$4:$M$16,3,FALSE),"")</f>
      </c>
      <c r="R30" t="s" s="414">
        <f>IF(AND(OR(O30="A",O30="B",O30="d"),Q30="input"),'Window &amp; Door DATA INPUT'!AA36,IF(AND(O30="C",Q30="input"),'Window &amp; Door DATA INPUT'!W36,Q30))</f>
      </c>
      <c r="S30" t="s" s="414">
        <f>IF('Window &amp; Door DATA INPUT'!X36="Yes",'Window &amp; Door DATA INPUT'!Y36/1000,IF(B30=1,"N/A",""))</f>
      </c>
      <c r="T30" t="s" s="480">
        <f>IF(Q30="calc",IF(P30="yes",'Window &amp; Door DATA INPUT'!U36/1000,('Parameters'!$S$4-'Window &amp; Door DATA INPUT'!Z36+'Parameters'!$Q$4)/1000),"")</f>
      </c>
      <c r="U30" t="s" s="480">
        <f>IF(Q30="calc",IF(T30&gt;M30,M30,T30),"")</f>
      </c>
      <c r="V30" t="s" s="480">
        <f>IF(AND(S30&gt;0,S30&lt;U30),S30,U30)</f>
      </c>
      <c r="W30" t="s" s="496">
        <f>IF(R30="calc",DEGREES(ASIN(V30/M30)),R30)</f>
      </c>
      <c r="X30" t="s" s="480">
        <f>IF(OR($H30="no",$B30=0),"",IF($I30='Parameters'!$K$15,$L30/($M30/2),$L30/$M30))</f>
      </c>
      <c r="Y30" t="s" s="480">
        <f>IF(OR($H30="no",$B30=0),"",IF($X30&lt;0.5,'Parameters'!$X$4,IF($X30&lt;1,'Parameters'!$Y$4,IF($X30&lt;2,'Parameters'!$Z$4,'Parameters'!$AA$4))))</f>
      </c>
      <c r="Z30" t="s" s="480">
        <f>IF(OR($H30="no",$B30=0),"",IF($X30&lt;0.5,'Parameters'!$X$5,IF($X30&lt;1,'Parameters'!$Y$5,IF($X30&lt;2,'Parameters'!$Z$5,'Parameters'!$AA$5))))</f>
      </c>
      <c r="AA30" t="s" s="480">
        <f>IF(OR($H30="no",$B30=0),"",IF($I30='Parameters'!$K$15,(2*($M30/2)*SIN(RADIANS($W30/2))),(2*$M30*SIN(RADIANS($W30/2)))))</f>
      </c>
      <c r="AB30" t="s" s="480">
        <f>IF(OR($H30="no",$B30=0),"",$Z30*(1-EXP(-$Y30*$W30)))</f>
      </c>
      <c r="AC30" t="s" s="480">
        <f>IF(OR($H30="no",$B30=0),"",IF($I30='Parameters'!$K$15,$AB30*$N30/2,$AB30*$N30))</f>
      </c>
      <c r="AD30" t="s" s="497">
        <f>IF(OR($H30="no",$B30=0),"",IF($I30='Parameters'!$K$15,$AC30*2/'Parameters'!$AB$4,$AC30/'Parameters'!$AB$4))</f>
      </c>
      <c r="AE30" t="s" s="487">
        <f>IF(AND(O30="B",Q30="calc"),V30,IF(AND(O30="C",Q30="calc"),'Window &amp; Door DATA INPUT'!T36/1000,""))</f>
      </c>
      <c r="AF30" t="s" s="414">
        <f>IF(AND(O30="B",Q30="input"),'Window &amp; Door DATA INPUT'!AA36,IF(AND(O30="C",Q30="input",P30="F"),'Window &amp; Door DATA INPUT'!V36,IF(AND(O30="C",P30="E"),0,IF(AND(O30="D"),0,IF(AND(B30=1,C30=0),"",(Q30))))))</f>
      </c>
      <c r="AG30" t="s" s="496">
        <f>IF(AF30="calc",DEGREES(ASIN(AE30/M30)),AF30)</f>
      </c>
      <c r="AH30" t="s" s="480">
        <f>IF(OR($H30="no",$C30=0),"",IF($I30='Parameters'!$K$15,$L30/($M30/2),$L30/$M30))</f>
      </c>
      <c r="AI30" t="s" s="480">
        <f>IF(OR($H30="no",$C30=0),"",IF($AH30&lt;0.5,'Parameters'!$X$4,IF($AH30&lt;1,'Parameters'!$Y$4,IF($AH30&lt;2,'Parameters'!$Z$4,'Parameters'!$AA$4))))</f>
      </c>
      <c r="AJ30" t="s" s="480">
        <f>IF(OR($H30="no",$C30=0),"",IF($AH30&lt;0.5,'Parameters'!$X$5,IF($AH30&lt;1,'Parameters'!$Y$5,IF($AH30&lt;2,'Parameters'!$Z$5,'Parameters'!$AA$5))))</f>
      </c>
      <c r="AK30" t="s" s="480">
        <f>IF(OR($H30="no",$C30=0),"",IF($I30='Parameters'!$K$15,(2*($M30/2)*SIN(RADIANS($AG30/2))),(2*$M30*SIN(RADIANS($AG30/2)))))</f>
      </c>
      <c r="AL30" t="s" s="480">
        <f>IF(OR($H30="no",$C30=0),"",$AJ30*(1-EXP(-$AI30*$AG30)))</f>
      </c>
      <c r="AM30" t="s" s="480">
        <f>IF(OR($H30="no",$C30=0),"",IF($I30='Parameters'!$K$15,$AL30*$N30/2,$AL30*$N30))</f>
      </c>
      <c r="AN30" t="s" s="497">
        <f>IF(OR($H30="no",$C30=0),"",IF($I30='Parameters'!$K$15,$AM30*2/'Parameters'!$AB$4,$AM30/'Parameters'!$AB$4))</f>
      </c>
      <c r="AO30" s="510"/>
      <c r="AP30" t="s" s="464">
        <v>411</v>
      </c>
      <c r="AQ30" s="449"/>
      <c r="AR30" s="449"/>
      <c r="AS30" s="449"/>
      <c r="AT30" s="449"/>
      <c r="AU30" s="512"/>
      <c r="AV30" s="441"/>
      <c r="AW30" s="449"/>
      <c r="AX30" s="441"/>
      <c r="AY30" s="441"/>
      <c r="AZ30" s="441"/>
      <c r="BA30" s="441"/>
      <c r="BB30" s="441"/>
      <c r="BC30" s="441"/>
      <c r="BD30" s="441"/>
      <c r="BE30" s="441"/>
      <c r="BF30" s="441"/>
      <c r="BG30" s="441"/>
      <c r="BH30" s="441"/>
      <c r="BI30" s="441"/>
      <c r="BJ30" s="441"/>
      <c r="BK30" s="441"/>
      <c r="BL30" s="441"/>
    </row>
    <row r="31" ht="16" customHeight="1">
      <c r="A31" s="470"/>
      <c r="B31" s="479">
        <f>IF('Window &amp; Door DATA INPUT'!B37&gt;1,1,0)</f>
        <v>0</v>
      </c>
      <c r="C31" s="479">
        <f>IF(AND(B31=1,OR(D31='Parameters'!$D$17,D31='Parameters'!$D$18,D31='Parameters'!$D$19,D31='Parameters'!$D$20,D31='Parameters'!$D$21)),1,0)</f>
        <v>0</v>
      </c>
      <c r="D31" t="s" s="480">
        <f>IF('Window &amp; Door DATA INPUT'!B37="","",'Window &amp; Door DATA INPUT'!B37)</f>
      </c>
      <c r="E31" t="s" s="480">
        <f>IF('Window &amp; Door DATA INPUT'!D37="","",'Window &amp; Door DATA INPUT'!D37)</f>
      </c>
      <c r="F31" t="s" s="480">
        <f>IF(B31=1,'Window &amp; Door DATA INPUT'!H37&amp;'RESULTS'!$H$5,"")</f>
      </c>
      <c r="G31" t="s" s="480">
        <f>IF(B31=1,VLOOKUP(F31,'Parameters'!$H$4:$I$20,2,FALSE),"")</f>
      </c>
      <c r="H31" t="s" s="480">
        <f>IF(OR('Window &amp; Door DATA INPUT'!J37='Parameters'!$K$4,'Window &amp; Door DATA INPUT'!J37='Parameters'!$K$11),"No",IF('Window &amp; Door DATA INPUT'!K37="","",'Window &amp; Door DATA INPUT'!K37))</f>
      </c>
      <c r="I31" t="s" s="480">
        <f>IF('Window &amp; Door DATA INPUT'!J37="","",'Window &amp; Door DATA INPUT'!J37)</f>
      </c>
      <c r="J31" t="s" s="480">
        <f>IF('Window &amp; Door DATA INPUT'!L37='Parameters'!$O$5,'Window &amp; Door DATA INPUT'!O37,IF(B31=1,'Window &amp; Door DATA INPUT'!N37*'Window &amp; Door DATA INPUT'!M37,""))</f>
      </c>
      <c r="K31" t="s" s="414">
        <f>IF('Window &amp; Door DATA INPUT'!J37="","",VLOOKUP('Window &amp; Door DATA INPUT'!J37,'Parameters'!$K$4:$L$16,2,FALSE))</f>
      </c>
      <c r="L31" t="s" s="480">
        <f>IF($H31="yes",IF($K31="Y",'Window &amp; Door DATA INPUT'!Q37,IF($K31="N",'Window &amp; Door DATA INPUT'!P37)),"")</f>
      </c>
      <c r="M31" t="s" s="480">
        <f>IF($H31="yes",IF($K31="Y",'Window &amp; Door DATA INPUT'!P37,IF($K31="N",'Window &amp; Door DATA INPUT'!Q37)),"")</f>
      </c>
      <c r="N31" t="s" s="480">
        <f>IF(L31="","",L31*M31)</f>
      </c>
      <c r="O31" t="s" s="414">
        <f>IF(AND(B31=1,C31=0,H31="yes"),"A",IF(AND(C31=1,H31="yes",'Window &amp; Door DATA INPUT'!R37="no"),"B",IF(AND(C31=1,H31="yes",'Window &amp; Door DATA INPUT'!R37="yes",'Window &amp; Door DATA INPUT'!S37="yes"),"C",IF(AND(C31=1,H31="yes",'Window &amp; Door DATA INPUT'!R37="yes",'Window &amp; Door DATA INPUT'!S37="no"),"D",""))))</f>
      </c>
      <c r="P31" t="s" s="414">
        <f>IF(AND(C31=1,H31="yes",OR(I31='Parameters'!$K$12,I31='Parameters'!$K$13,I31='Parameters'!$K$14)),"E",IF(AND(C31=1,H31="yes",NOT(OR(I31='Parameters'!$K$12,I31='Parameters'!$K$13,I31='Parameters'!$K$14))),"F",""))</f>
      </c>
      <c r="Q31" t="s" s="414">
        <f>IF(AND(B31=1,H31="yes"),VLOOKUP(I31,'Parameters'!$K$4:$M$16,3,FALSE),"")</f>
      </c>
      <c r="R31" t="s" s="414">
        <f>IF(AND(OR(O31="A",O31="B",O31="d"),Q31="input"),'Window &amp; Door DATA INPUT'!AA37,IF(AND(O31="C",Q31="input"),'Window &amp; Door DATA INPUT'!W37,Q31))</f>
      </c>
      <c r="S31" t="s" s="414">
        <f>IF('Window &amp; Door DATA INPUT'!X37="Yes",'Window &amp; Door DATA INPUT'!Y37/1000,IF(B31=1,"N/A",""))</f>
      </c>
      <c r="T31" t="s" s="480">
        <f>IF(Q31="calc",IF(P31="yes",'Window &amp; Door DATA INPUT'!U37/1000,('Parameters'!$S$4-'Window &amp; Door DATA INPUT'!Z37+'Parameters'!$Q$4)/1000),"")</f>
      </c>
      <c r="U31" t="s" s="480">
        <f>IF(Q31="calc",IF(T31&gt;M31,M31,T31),"")</f>
      </c>
      <c r="V31" t="s" s="480">
        <f>IF(AND(S31&gt;0,S31&lt;U31),S31,U31)</f>
      </c>
      <c r="W31" t="s" s="496">
        <f>IF(R31="calc",DEGREES(ASIN(V31/M31)),R31)</f>
      </c>
      <c r="X31" t="s" s="480">
        <f>IF(OR($H31="no",$B31=0),"",IF($I31='Parameters'!$K$15,$L31/($M31/2),$L31/$M31))</f>
      </c>
      <c r="Y31" t="s" s="480">
        <f>IF(OR($H31="no",$B31=0),"",IF($X31&lt;0.5,'Parameters'!$X$4,IF($X31&lt;1,'Parameters'!$Y$4,IF($X31&lt;2,'Parameters'!$Z$4,'Parameters'!$AA$4))))</f>
      </c>
      <c r="Z31" t="s" s="480">
        <f>IF(OR($H31="no",$B31=0),"",IF($X31&lt;0.5,'Parameters'!$X$5,IF($X31&lt;1,'Parameters'!$Y$5,IF($X31&lt;2,'Parameters'!$Z$5,'Parameters'!$AA$5))))</f>
      </c>
      <c r="AA31" t="s" s="480">
        <f>IF(OR($H31="no",$B31=0),"",IF($I31='Parameters'!$K$15,(2*($M31/2)*SIN(RADIANS($W31/2))),(2*$M31*SIN(RADIANS($W31/2)))))</f>
      </c>
      <c r="AB31" t="s" s="480">
        <f>IF(OR($H31="no",$B31=0),"",$Z31*(1-EXP(-$Y31*$W31)))</f>
      </c>
      <c r="AC31" t="s" s="480">
        <f>IF(OR($H31="no",$B31=0),"",IF($I31='Parameters'!$K$15,$AB31*$N31/2,$AB31*$N31))</f>
      </c>
      <c r="AD31" t="s" s="497">
        <f>IF(OR($H31="no",$B31=0),"",IF($I31='Parameters'!$K$15,$AC31*2/'Parameters'!$AB$4,$AC31/'Parameters'!$AB$4))</f>
      </c>
      <c r="AE31" t="s" s="487">
        <f>IF(AND(O31="B",Q31="calc"),V31,IF(AND(O31="C",Q31="calc"),'Window &amp; Door DATA INPUT'!T37/1000,""))</f>
      </c>
      <c r="AF31" t="s" s="414">
        <f>IF(AND(O31="B",Q31="input"),'Window &amp; Door DATA INPUT'!AA37,IF(AND(O31="C",Q31="input",P31="F"),'Window &amp; Door DATA INPUT'!V37,IF(AND(O31="C",P31="E"),0,IF(AND(O31="D"),0,IF(AND(B31=1,C31=0),"",(Q31))))))</f>
      </c>
      <c r="AG31" t="s" s="496">
        <f>IF(AF31="calc",DEGREES(ASIN(AE31/M31)),AF31)</f>
      </c>
      <c r="AH31" t="s" s="480">
        <f>IF(OR($H31="no",$C31=0),"",IF($I31='Parameters'!$K$15,$L31/($M31/2),$L31/$M31))</f>
      </c>
      <c r="AI31" t="s" s="480">
        <f>IF(OR($H31="no",$C31=0),"",IF($AH31&lt;0.5,'Parameters'!$X$4,IF($AH31&lt;1,'Parameters'!$Y$4,IF($AH31&lt;2,'Parameters'!$Z$4,'Parameters'!$AA$4))))</f>
      </c>
      <c r="AJ31" t="s" s="480">
        <f>IF(OR($H31="no",$C31=0),"",IF($AH31&lt;0.5,'Parameters'!$X$5,IF($AH31&lt;1,'Parameters'!$Y$5,IF($AH31&lt;2,'Parameters'!$Z$5,'Parameters'!$AA$5))))</f>
      </c>
      <c r="AK31" t="s" s="480">
        <f>IF(OR($H31="no",$C31=0),"",IF($I31='Parameters'!$K$15,(2*($M31/2)*SIN(RADIANS($AG31/2))),(2*$M31*SIN(RADIANS($AG31/2)))))</f>
      </c>
      <c r="AL31" t="s" s="480">
        <f>IF(OR($H31="no",$C31=0),"",$AJ31*(1-EXP(-$AI31*$AG31)))</f>
      </c>
      <c r="AM31" t="s" s="480">
        <f>IF(OR($H31="no",$C31=0),"",IF($I31='Parameters'!$K$15,$AL31*$N31/2,$AL31*$N31))</f>
      </c>
      <c r="AN31" t="s" s="497">
        <f>IF(OR($H31="no",$C31=0),"",IF($I31='Parameters'!$K$15,$AM31*2/'Parameters'!$AB$4,$AM31/'Parameters'!$AB$4))</f>
      </c>
      <c r="AO31" s="513"/>
      <c r="AP31" t="s" s="514">
        <v>452</v>
      </c>
      <c r="AQ31" s="489">
        <f>'RESULTS'!$D$17</f>
        <v>135</v>
      </c>
      <c r="AR31" s="489">
        <f>SUM(AR4:AR28)</f>
        <v>19.895</v>
      </c>
      <c r="AS31" s="490">
        <f>IF(AQ31&gt;0,AR31/AQ31," ")</f>
        <v>0.14737037037037</v>
      </c>
      <c r="AT31" s="489">
        <f>SUM(AT4:AT28)</f>
        <v>12.5075616732233</v>
      </c>
      <c r="AU31" s="468"/>
      <c r="AV31" s="470"/>
      <c r="AW31" s="490">
        <f>IF(AQ31&gt;0,AT31/AQ31," ")</f>
        <v>0.0926486049868393</v>
      </c>
      <c r="AX31" s="468"/>
      <c r="AY31" s="441"/>
      <c r="AZ31" s="441"/>
      <c r="BA31" s="441"/>
      <c r="BB31" s="441"/>
      <c r="BC31" s="441"/>
      <c r="BD31" s="441"/>
      <c r="BE31" s="441"/>
      <c r="BF31" s="441"/>
      <c r="BG31" s="441"/>
      <c r="BH31" s="441"/>
      <c r="BI31" s="441"/>
      <c r="BJ31" s="441"/>
      <c r="BK31" s="441"/>
      <c r="BL31" s="441"/>
    </row>
    <row r="32" ht="16" customHeight="1">
      <c r="A32" s="470"/>
      <c r="B32" s="479">
        <f>IF('Window &amp; Door DATA INPUT'!B38&gt;1,1,0)</f>
        <v>0</v>
      </c>
      <c r="C32" s="479">
        <f>IF(AND(B32=1,OR(D32='Parameters'!$D$17,D32='Parameters'!$D$18,D32='Parameters'!$D$19,D32='Parameters'!$D$20,D32='Parameters'!$D$21)),1,0)</f>
        <v>0</v>
      </c>
      <c r="D32" t="s" s="480">
        <f>IF('Window &amp; Door DATA INPUT'!B38="","",'Window &amp; Door DATA INPUT'!B38)</f>
      </c>
      <c r="E32" t="s" s="480">
        <f>IF('Window &amp; Door DATA INPUT'!D38="","",'Window &amp; Door DATA INPUT'!D38)</f>
      </c>
      <c r="F32" t="s" s="480">
        <f>IF(B32=1,'Window &amp; Door DATA INPUT'!H38&amp;'RESULTS'!$H$5,"")</f>
      </c>
      <c r="G32" t="s" s="480">
        <f>IF(B32=1,VLOOKUP(F32,'Parameters'!$H$4:$I$20,2,FALSE),"")</f>
      </c>
      <c r="H32" t="s" s="480">
        <f>IF(OR('Window &amp; Door DATA INPUT'!J38='Parameters'!$K$4,'Window &amp; Door DATA INPUT'!J38='Parameters'!$K$11),"No",IF('Window &amp; Door DATA INPUT'!K38="","",'Window &amp; Door DATA INPUT'!K38))</f>
      </c>
      <c r="I32" t="s" s="480">
        <f>IF('Window &amp; Door DATA INPUT'!J38="","",'Window &amp; Door DATA INPUT'!J38)</f>
      </c>
      <c r="J32" t="s" s="480">
        <f>IF('Window &amp; Door DATA INPUT'!L38='Parameters'!$O$5,'Window &amp; Door DATA INPUT'!O38,IF(B32=1,'Window &amp; Door DATA INPUT'!N38*'Window &amp; Door DATA INPUT'!M38,""))</f>
      </c>
      <c r="K32" t="s" s="414">
        <f>IF('Window &amp; Door DATA INPUT'!J38="","",VLOOKUP('Window &amp; Door DATA INPUT'!J38,'Parameters'!$K$4:$L$16,2,FALSE))</f>
      </c>
      <c r="L32" t="s" s="480">
        <f>IF($H32="yes",IF($K32="Y",'Window &amp; Door DATA INPUT'!Q38,IF($K32="N",'Window &amp; Door DATA INPUT'!P38)),"")</f>
      </c>
      <c r="M32" t="s" s="480">
        <f>IF($H32="yes",IF($K32="Y",'Window &amp; Door DATA INPUT'!P38,IF($K32="N",'Window &amp; Door DATA INPUT'!Q38)),"")</f>
      </c>
      <c r="N32" t="s" s="480">
        <f>IF(L32="","",L32*M32)</f>
      </c>
      <c r="O32" t="s" s="414">
        <f>IF(AND(B32=1,C32=0,H32="yes"),"A",IF(AND(C32=1,H32="yes",'Window &amp; Door DATA INPUT'!R38="no"),"B",IF(AND(C32=1,H32="yes",'Window &amp; Door DATA INPUT'!R38="yes",'Window &amp; Door DATA INPUT'!S38="yes"),"C",IF(AND(C32=1,H32="yes",'Window &amp; Door DATA INPUT'!R38="yes",'Window &amp; Door DATA INPUT'!S38="no"),"D",""))))</f>
      </c>
      <c r="P32" t="s" s="414">
        <f>IF(AND(C32=1,H32="yes",OR(I32='Parameters'!$K$12,I32='Parameters'!$K$13,I32='Parameters'!$K$14)),"E",IF(AND(C32=1,H32="yes",NOT(OR(I32='Parameters'!$K$12,I32='Parameters'!$K$13,I32='Parameters'!$K$14))),"F",""))</f>
      </c>
      <c r="Q32" t="s" s="414">
        <f>IF(AND(B32=1,H32="yes"),VLOOKUP(I32,'Parameters'!$K$4:$M$16,3,FALSE),"")</f>
      </c>
      <c r="R32" t="s" s="414">
        <f>IF(AND(OR(O32="A",O32="B",O32="d"),Q32="input"),'Window &amp; Door DATA INPUT'!AA38,IF(AND(O32="C",Q32="input"),'Window &amp; Door DATA INPUT'!W38,Q32))</f>
      </c>
      <c r="S32" t="s" s="414">
        <f>IF('Window &amp; Door DATA INPUT'!X38="Yes",'Window &amp; Door DATA INPUT'!Y38/1000,IF(B32=1,"N/A",""))</f>
      </c>
      <c r="T32" t="s" s="480">
        <f>IF(Q32="calc",IF(P32="yes",'Window &amp; Door DATA INPUT'!U38/1000,('Parameters'!$S$4-'Window &amp; Door DATA INPUT'!Z38+'Parameters'!$Q$4)/1000),"")</f>
      </c>
      <c r="U32" t="s" s="480">
        <f>IF(Q32="calc",IF(T32&gt;M32,M32,T32),"")</f>
      </c>
      <c r="V32" t="s" s="480">
        <f>IF(AND(S32&gt;0,S32&lt;U32),S32,U32)</f>
      </c>
      <c r="W32" t="s" s="496">
        <f>IF(R32="calc",DEGREES(ASIN(V32/M32)),R32)</f>
      </c>
      <c r="X32" t="s" s="480">
        <f>IF(OR($H32="no",$B32=0),"",IF($I32='Parameters'!$K$15,$L32/($M32/2),$L32/$M32))</f>
      </c>
      <c r="Y32" t="s" s="480">
        <f>IF(OR($H32="no",$B32=0),"",IF($X32&lt;0.5,'Parameters'!$X$4,IF($X32&lt;1,'Parameters'!$Y$4,IF($X32&lt;2,'Parameters'!$Z$4,'Parameters'!$AA$4))))</f>
      </c>
      <c r="Z32" t="s" s="480">
        <f>IF(OR($H32="no",$B32=0),"",IF($X32&lt;0.5,'Parameters'!$X$5,IF($X32&lt;1,'Parameters'!$Y$5,IF($X32&lt;2,'Parameters'!$Z$5,'Parameters'!$AA$5))))</f>
      </c>
      <c r="AA32" t="s" s="480">
        <f>IF(OR($H32="no",$B32=0),"",IF($I32='Parameters'!$K$15,(2*($M32/2)*SIN(RADIANS($W32/2))),(2*$M32*SIN(RADIANS($W32/2)))))</f>
      </c>
      <c r="AB32" t="s" s="480">
        <f>IF(OR($H32="no",$B32=0),"",$Z32*(1-EXP(-$Y32*$W32)))</f>
      </c>
      <c r="AC32" t="s" s="480">
        <f>IF(OR($H32="no",$B32=0),"",IF($I32='Parameters'!$K$15,$AB32*$N32/2,$AB32*$N32))</f>
      </c>
      <c r="AD32" t="s" s="497">
        <f>IF(OR($H32="no",$B32=0),"",IF($I32='Parameters'!$K$15,$AC32*2/'Parameters'!$AB$4,$AC32/'Parameters'!$AB$4))</f>
      </c>
      <c r="AE32" t="s" s="487">
        <f>IF(AND(O32="B",Q32="calc"),V32,IF(AND(O32="C",Q32="calc"),'Window &amp; Door DATA INPUT'!T38/1000,""))</f>
      </c>
      <c r="AF32" t="s" s="414">
        <f>IF(AND(O32="B",Q32="input"),'Window &amp; Door DATA INPUT'!AA38,IF(AND(O32="C",Q32="input",P32="F"),'Window &amp; Door DATA INPUT'!V38,IF(AND(O32="C",P32="E"),0,IF(AND(O32="D"),0,IF(AND(B32=1,C32=0),"",(Q32))))))</f>
      </c>
      <c r="AG32" t="s" s="496">
        <f>IF(AF32="calc",DEGREES(ASIN(AE32/M32)),AF32)</f>
      </c>
      <c r="AH32" t="s" s="480">
        <f>IF(OR($H32="no",$C32=0),"",IF($I32='Parameters'!$K$15,$L32/($M32/2),$L32/$M32))</f>
      </c>
      <c r="AI32" t="s" s="480">
        <f>IF(OR($H32="no",$C32=0),"",IF($AH32&lt;0.5,'Parameters'!$X$4,IF($AH32&lt;1,'Parameters'!$Y$4,IF($AH32&lt;2,'Parameters'!$Z$4,'Parameters'!$AA$4))))</f>
      </c>
      <c r="AJ32" t="s" s="480">
        <f>IF(OR($H32="no",$C32=0),"",IF($AH32&lt;0.5,'Parameters'!$X$5,IF($AH32&lt;1,'Parameters'!$Y$5,IF($AH32&lt;2,'Parameters'!$Z$5,'Parameters'!$AA$5))))</f>
      </c>
      <c r="AK32" t="s" s="480">
        <f>IF(OR($H32="no",$C32=0),"",IF($I32='Parameters'!$K$15,(2*($M32/2)*SIN(RADIANS($AG32/2))),(2*$M32*SIN(RADIANS($AG32/2)))))</f>
      </c>
      <c r="AL32" t="s" s="480">
        <f>IF(OR($H32="no",$C32=0),"",$AJ32*(1-EXP(-$AI32*$AG32)))</f>
      </c>
      <c r="AM32" t="s" s="480">
        <f>IF(OR($H32="no",$C32=0),"",IF($I32='Parameters'!$K$15,$AL32*$N32/2,$AL32*$N32))</f>
      </c>
      <c r="AN32" t="s" s="497">
        <f>IF(OR($H32="no",$C32=0),"",IF($I32='Parameters'!$K$15,$AM32*2/'Parameters'!$AB$4,$AM32/'Parameters'!$AB$4))</f>
      </c>
      <c r="AO32" s="510"/>
      <c r="AP32" s="500"/>
      <c r="AQ32" s="500"/>
      <c r="AR32" s="500"/>
      <c r="AS32" s="500"/>
      <c r="AT32" s="500"/>
      <c r="AU32" s="441"/>
      <c r="AV32" s="441"/>
      <c r="AW32" s="500"/>
      <c r="AX32" s="441"/>
      <c r="AY32" s="441"/>
      <c r="AZ32" s="441"/>
      <c r="BA32" s="441"/>
      <c r="BB32" s="441"/>
      <c r="BC32" s="441"/>
      <c r="BD32" s="441"/>
      <c r="BE32" s="441"/>
      <c r="BF32" s="441"/>
      <c r="BG32" s="441"/>
      <c r="BH32" s="441"/>
      <c r="BI32" s="441"/>
      <c r="BJ32" s="441"/>
      <c r="BK32" s="441"/>
      <c r="BL32" s="441"/>
    </row>
    <row r="33" ht="16" customHeight="1">
      <c r="A33" s="470"/>
      <c r="B33" s="479">
        <f>IF('Window &amp; Door DATA INPUT'!B39&gt;1,1,0)</f>
        <v>0</v>
      </c>
      <c r="C33" s="479">
        <f>IF(AND(B33=1,OR(D33='Parameters'!$D$17,D33='Parameters'!$D$18,D33='Parameters'!$D$19,D33='Parameters'!$D$20,D33='Parameters'!$D$21)),1,0)</f>
        <v>0</v>
      </c>
      <c r="D33" t="s" s="480">
        <f>IF('Window &amp; Door DATA INPUT'!B39="","",'Window &amp; Door DATA INPUT'!B39)</f>
      </c>
      <c r="E33" t="s" s="480">
        <f>IF('Window &amp; Door DATA INPUT'!D39="","",'Window &amp; Door DATA INPUT'!D39)</f>
      </c>
      <c r="F33" t="s" s="480">
        <f>IF(B33=1,'Window &amp; Door DATA INPUT'!H39&amp;'RESULTS'!$H$5,"")</f>
      </c>
      <c r="G33" t="s" s="480">
        <f>IF(B33=1,VLOOKUP(F33,'Parameters'!$H$4:$I$20,2,FALSE),"")</f>
      </c>
      <c r="H33" t="s" s="480">
        <f>IF(OR('Window &amp; Door DATA INPUT'!J39='Parameters'!$K$4,'Window &amp; Door DATA INPUT'!J39='Parameters'!$K$11),"No",IF('Window &amp; Door DATA INPUT'!K39="","",'Window &amp; Door DATA INPUT'!K39))</f>
      </c>
      <c r="I33" t="s" s="480">
        <f>IF('Window &amp; Door DATA INPUT'!J39="","",'Window &amp; Door DATA INPUT'!J39)</f>
      </c>
      <c r="J33" t="s" s="480">
        <f>IF('Window &amp; Door DATA INPUT'!L39='Parameters'!$O$5,'Window &amp; Door DATA INPUT'!O39,IF(B33=1,'Window &amp; Door DATA INPUT'!N39*'Window &amp; Door DATA INPUT'!M39,""))</f>
      </c>
      <c r="K33" t="s" s="414">
        <f>IF('Window &amp; Door DATA INPUT'!J39="","",VLOOKUP('Window &amp; Door DATA INPUT'!J39,'Parameters'!$K$4:$L$16,2,FALSE))</f>
      </c>
      <c r="L33" t="s" s="480">
        <f>IF($H33="yes",IF($K33="Y",'Window &amp; Door DATA INPUT'!Q39,IF($K33="N",'Window &amp; Door DATA INPUT'!P39)),"")</f>
      </c>
      <c r="M33" t="s" s="480">
        <f>IF($H33="yes",IF($K33="Y",'Window &amp; Door DATA INPUT'!P39,IF($K33="N",'Window &amp; Door DATA INPUT'!Q39)),"")</f>
      </c>
      <c r="N33" t="s" s="480">
        <f>IF(L33="","",L33*M33)</f>
      </c>
      <c r="O33" t="s" s="414">
        <f>IF(AND(B33=1,C33=0,H33="yes"),"A",IF(AND(C33=1,H33="yes",'Window &amp; Door DATA INPUT'!R39="no"),"B",IF(AND(C33=1,H33="yes",'Window &amp; Door DATA INPUT'!R39="yes",'Window &amp; Door DATA INPUT'!S39="yes"),"C",IF(AND(C33=1,H33="yes",'Window &amp; Door DATA INPUT'!R39="yes",'Window &amp; Door DATA INPUT'!S39="no"),"D",""))))</f>
      </c>
      <c r="P33" t="s" s="414">
        <f>IF(AND(C33=1,H33="yes",OR(I33='Parameters'!$K$12,I33='Parameters'!$K$13,I33='Parameters'!$K$14)),"E",IF(AND(C33=1,H33="yes",NOT(OR(I33='Parameters'!$K$12,I33='Parameters'!$K$13,I33='Parameters'!$K$14))),"F",""))</f>
      </c>
      <c r="Q33" t="s" s="414">
        <f>IF(AND(B33=1,H33="yes"),VLOOKUP(I33,'Parameters'!$K$4:$M$16,3,FALSE),"")</f>
      </c>
      <c r="R33" t="s" s="414">
        <f>IF(AND(OR(O33="A",O33="B",O33="d"),Q33="input"),'Window &amp; Door DATA INPUT'!AA39,IF(AND(O33="C",Q33="input"),'Window &amp; Door DATA INPUT'!W39,Q33))</f>
      </c>
      <c r="S33" t="s" s="414">
        <f>IF('Window &amp; Door DATA INPUT'!X39="Yes",'Window &amp; Door DATA INPUT'!Y39/1000,IF(B33=1,"N/A",""))</f>
      </c>
      <c r="T33" t="s" s="480">
        <f>IF(Q33="calc",IF(P33="yes",'Window &amp; Door DATA INPUT'!U39/1000,('Parameters'!$S$4-'Window &amp; Door DATA INPUT'!Z39+'Parameters'!$Q$4)/1000),"")</f>
      </c>
      <c r="U33" t="s" s="480">
        <f>IF(Q33="calc",IF(T33&gt;M33,M33,T33),"")</f>
      </c>
      <c r="V33" t="s" s="480">
        <f>IF(AND(S33&gt;0,S33&lt;U33),S33,U33)</f>
      </c>
      <c r="W33" t="s" s="496">
        <f>IF(R33="calc",DEGREES(ASIN(V33/M33)),R33)</f>
      </c>
      <c r="X33" t="s" s="480">
        <f>IF(OR($H33="no",$B33=0),"",IF($I33='Parameters'!$K$15,$L33/($M33/2),$L33/$M33))</f>
      </c>
      <c r="Y33" t="s" s="480">
        <f>IF(OR($H33="no",$B33=0),"",IF($X33&lt;0.5,'Parameters'!$X$4,IF($X33&lt;1,'Parameters'!$Y$4,IF($X33&lt;2,'Parameters'!$Z$4,'Parameters'!$AA$4))))</f>
      </c>
      <c r="Z33" t="s" s="480">
        <f>IF(OR($H33="no",$B33=0),"",IF($X33&lt;0.5,'Parameters'!$X$5,IF($X33&lt;1,'Parameters'!$Y$5,IF($X33&lt;2,'Parameters'!$Z$5,'Parameters'!$AA$5))))</f>
      </c>
      <c r="AA33" t="s" s="480">
        <f>IF(OR($H33="no",$B33=0),"",IF($I33='Parameters'!$K$15,(2*($M33/2)*SIN(RADIANS($W33/2))),(2*$M33*SIN(RADIANS($W33/2)))))</f>
      </c>
      <c r="AB33" t="s" s="480">
        <f>IF(OR($H33="no",$B33=0),"",$Z33*(1-EXP(-$Y33*$W33)))</f>
      </c>
      <c r="AC33" t="s" s="480">
        <f>IF(OR($H33="no",$B33=0),"",IF($I33='Parameters'!$K$15,$AB33*$N33/2,$AB33*$N33))</f>
      </c>
      <c r="AD33" t="s" s="497">
        <f>IF(OR($H33="no",$B33=0),"",IF($I33='Parameters'!$K$15,$AC33*2/'Parameters'!$AB$4,$AC33/'Parameters'!$AB$4))</f>
      </c>
      <c r="AE33" t="s" s="487">
        <f>IF(AND(O33="B",Q33="calc"),V33,IF(AND(O33="C",Q33="calc"),'Window &amp; Door DATA INPUT'!T39/1000,""))</f>
      </c>
      <c r="AF33" t="s" s="414">
        <f>IF(AND(O33="B",Q33="input"),'Window &amp; Door DATA INPUT'!AA39,IF(AND(O33="C",Q33="input",P33="F"),'Window &amp; Door DATA INPUT'!V39,IF(AND(O33="C",P33="E"),0,IF(AND(O33="D"),0,IF(AND(B33=1,C33=0),"",(Q33))))))</f>
      </c>
      <c r="AG33" t="s" s="496">
        <f>IF(AF33="calc",DEGREES(ASIN(AE33/M33)),AF33)</f>
      </c>
      <c r="AH33" t="s" s="480">
        <f>IF(OR($H33="no",$C33=0),"",IF($I33='Parameters'!$K$15,$L33/($M33/2),$L33/$M33))</f>
      </c>
      <c r="AI33" t="s" s="480">
        <f>IF(OR($H33="no",$C33=0),"",IF($AH33&lt;0.5,'Parameters'!$X$4,IF($AH33&lt;1,'Parameters'!$Y$4,IF($AH33&lt;2,'Parameters'!$Z$4,'Parameters'!$AA$4))))</f>
      </c>
      <c r="AJ33" t="s" s="480">
        <f>IF(OR($H33="no",$C33=0),"",IF($AH33&lt;0.5,'Parameters'!$X$5,IF($AH33&lt;1,'Parameters'!$Y$5,IF($AH33&lt;2,'Parameters'!$Z$5,'Parameters'!$AA$5))))</f>
      </c>
      <c r="AK33" t="s" s="480">
        <f>IF(OR($H33="no",$C33=0),"",IF($I33='Parameters'!$K$15,(2*($M33/2)*SIN(RADIANS($AG33/2))),(2*$M33*SIN(RADIANS($AG33/2)))))</f>
      </c>
      <c r="AL33" t="s" s="480">
        <f>IF(OR($H33="no",$C33=0),"",$AJ33*(1-EXP(-$AI33*$AG33)))</f>
      </c>
      <c r="AM33" t="s" s="480">
        <f>IF(OR($H33="no",$C33=0),"",IF($I33='Parameters'!$K$15,$AL33*$N33/2,$AL33*$N33))</f>
      </c>
      <c r="AN33" t="s" s="497">
        <f>IF(OR($H33="no",$C33=0),"",IF($I33='Parameters'!$K$15,$AM33*2/'Parameters'!$AB$4,$AM33/'Parameters'!$AB$4))</f>
      </c>
      <c r="AO33" s="510"/>
      <c r="AP33" s="441"/>
      <c r="AQ33" s="441"/>
      <c r="AR33" s="441"/>
      <c r="AS33" s="441"/>
      <c r="AT33" s="441"/>
      <c r="AU33" s="441"/>
      <c r="AV33" s="441"/>
      <c r="AW33" s="441"/>
      <c r="AX33" s="441"/>
      <c r="AY33" s="441"/>
      <c r="AZ33" s="441"/>
      <c r="BA33" s="441"/>
      <c r="BB33" s="441"/>
      <c r="BC33" s="441"/>
      <c r="BD33" s="441"/>
      <c r="BE33" s="441"/>
      <c r="BF33" s="441"/>
      <c r="BG33" s="441"/>
      <c r="BH33" s="441"/>
      <c r="BI33" s="441"/>
      <c r="BJ33" s="441"/>
      <c r="BK33" s="441"/>
      <c r="BL33" s="441"/>
    </row>
    <row r="34" ht="16" customHeight="1">
      <c r="A34" s="470"/>
      <c r="B34" s="479">
        <f>IF('Window &amp; Door DATA INPUT'!B40&gt;1,1,0)</f>
        <v>0</v>
      </c>
      <c r="C34" s="479">
        <f>IF(AND(B34=1,OR(D34='Parameters'!$D$17,D34='Parameters'!$D$18,D34='Parameters'!$D$19,D34='Parameters'!$D$20,D34='Parameters'!$D$21)),1,0)</f>
        <v>0</v>
      </c>
      <c r="D34" t="s" s="480">
        <f>IF('Window &amp; Door DATA INPUT'!B40="","",'Window &amp; Door DATA INPUT'!B40)</f>
      </c>
      <c r="E34" t="s" s="480">
        <f>IF('Window &amp; Door DATA INPUT'!D40="","",'Window &amp; Door DATA INPUT'!D40)</f>
      </c>
      <c r="F34" t="s" s="480">
        <f>IF(B34=1,'Window &amp; Door DATA INPUT'!H40&amp;'RESULTS'!$H$5,"")</f>
      </c>
      <c r="G34" t="s" s="480">
        <f>IF(B34=1,VLOOKUP(F34,'Parameters'!$H$4:$I$20,2,FALSE),"")</f>
      </c>
      <c r="H34" t="s" s="480">
        <f>IF(OR('Window &amp; Door DATA INPUT'!J40='Parameters'!$K$4,'Window &amp; Door DATA INPUT'!J40='Parameters'!$K$11),"No",IF('Window &amp; Door DATA INPUT'!K40="","",'Window &amp; Door DATA INPUT'!K40))</f>
      </c>
      <c r="I34" t="s" s="480">
        <f>IF('Window &amp; Door DATA INPUT'!J40="","",'Window &amp; Door DATA INPUT'!J40)</f>
      </c>
      <c r="J34" t="s" s="480">
        <f>IF('Window &amp; Door DATA INPUT'!L40='Parameters'!$O$5,'Window &amp; Door DATA INPUT'!O40,IF(B34=1,'Window &amp; Door DATA INPUT'!N40*'Window &amp; Door DATA INPUT'!M40,""))</f>
      </c>
      <c r="K34" t="s" s="414">
        <f>IF('Window &amp; Door DATA INPUT'!J40="","",VLOOKUP('Window &amp; Door DATA INPUT'!J40,'Parameters'!$K$4:$L$16,2,FALSE))</f>
      </c>
      <c r="L34" t="s" s="480">
        <f>IF($H34="yes",IF($K34="Y",'Window &amp; Door DATA INPUT'!Q40,IF($K34="N",'Window &amp; Door DATA INPUT'!P40)),"")</f>
      </c>
      <c r="M34" t="s" s="480">
        <f>IF($H34="yes",IF($K34="Y",'Window &amp; Door DATA INPUT'!P40,IF($K34="N",'Window &amp; Door DATA INPUT'!Q40)),"")</f>
      </c>
      <c r="N34" t="s" s="480">
        <f>IF(L34="","",L34*M34)</f>
      </c>
      <c r="O34" t="s" s="414">
        <f>IF(AND(B34=1,C34=0,H34="yes"),"A",IF(AND(C34=1,H34="yes",'Window &amp; Door DATA INPUT'!R40="no"),"B",IF(AND(C34=1,H34="yes",'Window &amp; Door DATA INPUT'!R40="yes",'Window &amp; Door DATA INPUT'!S40="yes"),"C",IF(AND(C34=1,H34="yes",'Window &amp; Door DATA INPUT'!R40="yes",'Window &amp; Door DATA INPUT'!S40="no"),"D",""))))</f>
      </c>
      <c r="P34" t="s" s="414">
        <f>IF(AND(C34=1,H34="yes",OR(I34='Parameters'!$K$12,I34='Parameters'!$K$13,I34='Parameters'!$K$14)),"E",IF(AND(C34=1,H34="yes",NOT(OR(I34='Parameters'!$K$12,I34='Parameters'!$K$13,I34='Parameters'!$K$14))),"F",""))</f>
      </c>
      <c r="Q34" t="s" s="414">
        <f>IF(AND(B34=1,H34="yes"),VLOOKUP(I34,'Parameters'!$K$4:$M$16,3,FALSE),"")</f>
      </c>
      <c r="R34" t="s" s="414">
        <f>IF(AND(OR(O34="A",O34="B",O34="d"),Q34="input"),'Window &amp; Door DATA INPUT'!AA40,IF(AND(O34="C",Q34="input"),'Window &amp; Door DATA INPUT'!W40,Q34))</f>
      </c>
      <c r="S34" t="s" s="414">
        <f>IF('Window &amp; Door DATA INPUT'!X40="Yes",'Window &amp; Door DATA INPUT'!Y40/1000,IF(B34=1,"N/A",""))</f>
      </c>
      <c r="T34" t="s" s="480">
        <f>IF(Q34="calc",IF(P34="yes",'Window &amp; Door DATA INPUT'!U40/1000,('Parameters'!$S$4-'Window &amp; Door DATA INPUT'!Z40+'Parameters'!$Q$4)/1000),"")</f>
      </c>
      <c r="U34" t="s" s="480">
        <f>IF(Q34="calc",IF(T34&gt;M34,M34,T34),"")</f>
      </c>
      <c r="V34" t="s" s="480">
        <f>IF(AND(S34&gt;0,S34&lt;U34),S34,U34)</f>
      </c>
      <c r="W34" t="s" s="496">
        <f>IF(R34="calc",DEGREES(ASIN(V34/M34)),R34)</f>
      </c>
      <c r="X34" t="s" s="480">
        <f>IF(OR($H34="no",$B34=0),"",IF($I34='Parameters'!$K$15,$L34/($M34/2),$L34/$M34))</f>
      </c>
      <c r="Y34" t="s" s="480">
        <f>IF(OR($H34="no",$B34=0),"",IF($X34&lt;0.5,'Parameters'!$X$4,IF($X34&lt;1,'Parameters'!$Y$4,IF($X34&lt;2,'Parameters'!$Z$4,'Parameters'!$AA$4))))</f>
      </c>
      <c r="Z34" t="s" s="480">
        <f>IF(OR($H34="no",$B34=0),"",IF($X34&lt;0.5,'Parameters'!$X$5,IF($X34&lt;1,'Parameters'!$Y$5,IF($X34&lt;2,'Parameters'!$Z$5,'Parameters'!$AA$5))))</f>
      </c>
      <c r="AA34" t="s" s="480">
        <f>IF(OR($H34="no",$B34=0),"",IF($I34='Parameters'!$K$15,(2*($M34/2)*SIN(RADIANS($W34/2))),(2*$M34*SIN(RADIANS($W34/2)))))</f>
      </c>
      <c r="AB34" t="s" s="480">
        <f>IF(OR($H34="no",$B34=0),"",$Z34*(1-EXP(-$Y34*$W34)))</f>
      </c>
      <c r="AC34" t="s" s="480">
        <f>IF(OR($H34="no",$B34=0),"",IF($I34='Parameters'!$K$15,$AB34*$N34/2,$AB34*$N34))</f>
      </c>
      <c r="AD34" t="s" s="497">
        <f>IF(OR($H34="no",$B34=0),"",IF($I34='Parameters'!$K$15,$AC34*2/'Parameters'!$AB$4,$AC34/'Parameters'!$AB$4))</f>
      </c>
      <c r="AE34" t="s" s="487">
        <f>IF(AND(O34="B",Q34="calc"),V34,IF(AND(O34="C",Q34="calc"),'Window &amp; Door DATA INPUT'!T40/1000,""))</f>
      </c>
      <c r="AF34" t="s" s="414">
        <f>IF(AND(O34="B",Q34="input"),'Window &amp; Door DATA INPUT'!AA40,IF(AND(O34="C",Q34="input",P34="F"),'Window &amp; Door DATA INPUT'!V40,IF(AND(O34="C",P34="E"),0,IF(AND(O34="D"),0,IF(AND(B34=1,C34=0),"",(Q34))))))</f>
      </c>
      <c r="AG34" t="s" s="496">
        <f>IF(AF34="calc",DEGREES(ASIN(AE34/M34)),AF34)</f>
      </c>
      <c r="AH34" t="s" s="480">
        <f>IF(OR($H34="no",$C34=0),"",IF($I34='Parameters'!$K$15,$L34/($M34/2),$L34/$M34))</f>
      </c>
      <c r="AI34" t="s" s="480">
        <f>IF(OR($H34="no",$C34=0),"",IF($AH34&lt;0.5,'Parameters'!$X$4,IF($AH34&lt;1,'Parameters'!$Y$4,IF($AH34&lt;2,'Parameters'!$Z$4,'Parameters'!$AA$4))))</f>
      </c>
      <c r="AJ34" t="s" s="480">
        <f>IF(OR($H34="no",$C34=0),"",IF($AH34&lt;0.5,'Parameters'!$X$5,IF($AH34&lt;1,'Parameters'!$Y$5,IF($AH34&lt;2,'Parameters'!$Z$5,'Parameters'!$AA$5))))</f>
      </c>
      <c r="AK34" t="s" s="480">
        <f>IF(OR($H34="no",$C34=0),"",IF($I34='Parameters'!$K$15,(2*($M34/2)*SIN(RADIANS($AG34/2))),(2*$M34*SIN(RADIANS($AG34/2)))))</f>
      </c>
      <c r="AL34" t="s" s="480">
        <f>IF(OR($H34="no",$C34=0),"",$AJ34*(1-EXP(-$AI34*$AG34)))</f>
      </c>
      <c r="AM34" t="s" s="480">
        <f>IF(OR($H34="no",$C34=0),"",IF($I34='Parameters'!$K$15,$AL34*$N34/2,$AL34*$N34))</f>
      </c>
      <c r="AN34" t="s" s="497">
        <f>IF(OR($H34="no",$C34=0),"",IF($I34='Parameters'!$K$15,$AM34*2/'Parameters'!$AB$4,$AM34/'Parameters'!$AB$4))</f>
      </c>
      <c r="AO34" s="510"/>
      <c r="AP34" s="441"/>
      <c r="AQ34" s="441"/>
      <c r="AR34" s="441"/>
      <c r="AS34" s="441"/>
      <c r="AT34" s="441"/>
      <c r="AU34" s="441"/>
      <c r="AV34" s="441"/>
      <c r="AW34" s="441"/>
      <c r="AX34" s="441"/>
      <c r="AY34" s="441"/>
      <c r="AZ34" s="441"/>
      <c r="BA34" s="441"/>
      <c r="BB34" s="441"/>
      <c r="BC34" s="441"/>
      <c r="BD34" s="441"/>
      <c r="BE34" s="441"/>
      <c r="BF34" s="441"/>
      <c r="BG34" s="441"/>
      <c r="BH34" s="441"/>
      <c r="BI34" s="441"/>
      <c r="BJ34" s="441"/>
      <c r="BK34" s="441"/>
      <c r="BL34" s="441"/>
    </row>
    <row r="35" ht="16" customHeight="1">
      <c r="A35" s="470"/>
      <c r="B35" s="479">
        <f>IF('Window &amp; Door DATA INPUT'!B41&gt;1,1,0)</f>
        <v>0</v>
      </c>
      <c r="C35" s="479">
        <f>IF(AND(B35=1,OR(D35='Parameters'!$D$17,D35='Parameters'!$D$18,D35='Parameters'!$D$19,D35='Parameters'!$D$20,D35='Parameters'!$D$21)),1,0)</f>
        <v>0</v>
      </c>
      <c r="D35" t="s" s="480">
        <f>IF('Window &amp; Door DATA INPUT'!B41="","",'Window &amp; Door DATA INPUT'!B41)</f>
      </c>
      <c r="E35" t="s" s="480">
        <f>IF('Window &amp; Door DATA INPUT'!D41="","",'Window &amp; Door DATA INPUT'!D41)</f>
      </c>
      <c r="F35" t="s" s="480">
        <f>IF(B35=1,'Window &amp; Door DATA INPUT'!H41&amp;'RESULTS'!$H$5,"")</f>
      </c>
      <c r="G35" t="s" s="480">
        <f>IF(B35=1,VLOOKUP(F35,'Parameters'!$H$4:$I$20,2,FALSE),"")</f>
      </c>
      <c r="H35" t="s" s="480">
        <f>IF(OR('Window &amp; Door DATA INPUT'!J41='Parameters'!$K$4,'Window &amp; Door DATA INPUT'!J41='Parameters'!$K$11),"No",IF('Window &amp; Door DATA INPUT'!K41="","",'Window &amp; Door DATA INPUT'!K41))</f>
      </c>
      <c r="I35" t="s" s="480">
        <f>IF('Window &amp; Door DATA INPUT'!J41="","",'Window &amp; Door DATA INPUT'!J41)</f>
      </c>
      <c r="J35" t="s" s="480">
        <f>IF('Window &amp; Door DATA INPUT'!L41='Parameters'!$O$5,'Window &amp; Door DATA INPUT'!O41,IF(B35=1,'Window &amp; Door DATA INPUT'!N41*'Window &amp; Door DATA INPUT'!M41,""))</f>
      </c>
      <c r="K35" t="s" s="414">
        <f>IF('Window &amp; Door DATA INPUT'!J41="","",VLOOKUP('Window &amp; Door DATA INPUT'!J41,'Parameters'!$K$4:$L$16,2,FALSE))</f>
      </c>
      <c r="L35" t="s" s="480">
        <f>IF($H35="yes",IF($K35="Y",'Window &amp; Door DATA INPUT'!Q41,IF($K35="N",'Window &amp; Door DATA INPUT'!P41)),"")</f>
      </c>
      <c r="M35" t="s" s="480">
        <f>IF($H35="yes",IF($K35="Y",'Window &amp; Door DATA INPUT'!P41,IF($K35="N",'Window &amp; Door DATA INPUT'!Q41)),"")</f>
      </c>
      <c r="N35" t="s" s="480">
        <f>IF(L35="","",L35*M35)</f>
      </c>
      <c r="O35" t="s" s="414">
        <f>IF(AND(B35=1,C35=0,H35="yes"),"A",IF(AND(C35=1,H35="yes",'Window &amp; Door DATA INPUT'!R41="no"),"B",IF(AND(C35=1,H35="yes",'Window &amp; Door DATA INPUT'!R41="yes",'Window &amp; Door DATA INPUT'!S41="yes"),"C",IF(AND(C35=1,H35="yes",'Window &amp; Door DATA INPUT'!R41="yes",'Window &amp; Door DATA INPUT'!S41="no"),"D",""))))</f>
      </c>
      <c r="P35" t="s" s="414">
        <f>IF(AND(C35=1,H35="yes",OR(I35='Parameters'!$K$12,I35='Parameters'!$K$13,I35='Parameters'!$K$14)),"E",IF(AND(C35=1,H35="yes",NOT(OR(I35='Parameters'!$K$12,I35='Parameters'!$K$13,I35='Parameters'!$K$14))),"F",""))</f>
      </c>
      <c r="Q35" t="s" s="414">
        <f>IF(AND(B35=1,H35="yes"),VLOOKUP(I35,'Parameters'!$K$4:$M$16,3,FALSE),"")</f>
      </c>
      <c r="R35" t="s" s="414">
        <f>IF(AND(OR(O35="A",O35="B",O35="d"),Q35="input"),'Window &amp; Door DATA INPUT'!AA41,IF(AND(O35="C",Q35="input"),'Window &amp; Door DATA INPUT'!W41,Q35))</f>
      </c>
      <c r="S35" t="s" s="414">
        <f>IF('Window &amp; Door DATA INPUT'!X41="Yes",'Window &amp; Door DATA INPUT'!Y41/1000,IF(B35=1,"N/A",""))</f>
      </c>
      <c r="T35" t="s" s="480">
        <f>IF(Q35="calc",IF(P35="yes",'Window &amp; Door DATA INPUT'!U41/1000,('Parameters'!$S$4-'Window &amp; Door DATA INPUT'!Z41+'Parameters'!$Q$4)/1000),"")</f>
      </c>
      <c r="U35" t="s" s="480">
        <f>IF(Q35="calc",IF(T35&gt;M35,M35,T35),"")</f>
      </c>
      <c r="V35" t="s" s="480">
        <f>IF(AND(S35&gt;0,S35&lt;U35),S35,U35)</f>
      </c>
      <c r="W35" t="s" s="496">
        <f>IF(R35="calc",DEGREES(ASIN(V35/M35)),R35)</f>
      </c>
      <c r="X35" t="s" s="480">
        <f>IF(OR($H35="no",$B35=0),"",IF($I35='Parameters'!$K$15,$L35/($M35/2),$L35/$M35))</f>
      </c>
      <c r="Y35" t="s" s="480">
        <f>IF(OR($H35="no",$B35=0),"",IF($X35&lt;0.5,'Parameters'!$X$4,IF($X35&lt;1,'Parameters'!$Y$4,IF($X35&lt;2,'Parameters'!$Z$4,'Parameters'!$AA$4))))</f>
      </c>
      <c r="Z35" t="s" s="480">
        <f>IF(OR($H35="no",$B35=0),"",IF($X35&lt;0.5,'Parameters'!$X$5,IF($X35&lt;1,'Parameters'!$Y$5,IF($X35&lt;2,'Parameters'!$Z$5,'Parameters'!$AA$5))))</f>
      </c>
      <c r="AA35" t="s" s="480">
        <f>IF(OR($H35="no",$B35=0),"",IF($I35='Parameters'!$K$15,(2*($M35/2)*SIN(RADIANS($W35/2))),(2*$M35*SIN(RADIANS($W35/2)))))</f>
      </c>
      <c r="AB35" t="s" s="480">
        <f>IF(OR($H35="no",$B35=0),"",$Z35*(1-EXP(-$Y35*$W35)))</f>
      </c>
      <c r="AC35" t="s" s="480">
        <f>IF(OR($H35="no",$B35=0),"",IF($I35='Parameters'!$K$15,$AB35*$N35/2,$AB35*$N35))</f>
      </c>
      <c r="AD35" t="s" s="497">
        <f>IF(OR($H35="no",$B35=0),"",IF($I35='Parameters'!$K$15,$AC35*2/'Parameters'!$AB$4,$AC35/'Parameters'!$AB$4))</f>
      </c>
      <c r="AE35" t="s" s="487">
        <f>IF(AND(O35="B",Q35="calc"),V35,IF(AND(O35="C",Q35="calc"),'Window &amp; Door DATA INPUT'!T41/1000,""))</f>
      </c>
      <c r="AF35" t="s" s="414">
        <f>IF(AND(O35="B",Q35="input"),'Window &amp; Door DATA INPUT'!AA41,IF(AND(O35="C",Q35="input",P35="F"),'Window &amp; Door DATA INPUT'!V41,IF(AND(O35="C",P35="E"),0,IF(AND(O35="D"),0,IF(AND(B35=1,C35=0),"",(Q35))))))</f>
      </c>
      <c r="AG35" t="s" s="496">
        <f>IF(AF35="calc",DEGREES(ASIN(AE35/M35)),AF35)</f>
      </c>
      <c r="AH35" t="s" s="480">
        <f>IF(OR($H35="no",$C35=0),"",IF($I35='Parameters'!$K$15,$L35/($M35/2),$L35/$M35))</f>
      </c>
      <c r="AI35" t="s" s="480">
        <f>IF(OR($H35="no",$C35=0),"",IF($AH35&lt;0.5,'Parameters'!$X$4,IF($AH35&lt;1,'Parameters'!$Y$4,IF($AH35&lt;2,'Parameters'!$Z$4,'Parameters'!$AA$4))))</f>
      </c>
      <c r="AJ35" t="s" s="480">
        <f>IF(OR($H35="no",$C35=0),"",IF($AH35&lt;0.5,'Parameters'!$X$5,IF($AH35&lt;1,'Parameters'!$Y$5,IF($AH35&lt;2,'Parameters'!$Z$5,'Parameters'!$AA$5))))</f>
      </c>
      <c r="AK35" t="s" s="480">
        <f>IF(OR($H35="no",$C35=0),"",IF($I35='Parameters'!$K$15,(2*($M35/2)*SIN(RADIANS($AG35/2))),(2*$M35*SIN(RADIANS($AG35/2)))))</f>
      </c>
      <c r="AL35" t="s" s="480">
        <f>IF(OR($H35="no",$C35=0),"",$AJ35*(1-EXP(-$AI35*$AG35)))</f>
      </c>
      <c r="AM35" t="s" s="480">
        <f>IF(OR($H35="no",$C35=0),"",IF($I35='Parameters'!$K$15,$AL35*$N35/2,$AL35*$N35))</f>
      </c>
      <c r="AN35" t="s" s="497">
        <f>IF(OR($H35="no",$C35=0),"",IF($I35='Parameters'!$K$15,$AM35*2/'Parameters'!$AB$4,$AM35/'Parameters'!$AB$4))</f>
      </c>
      <c r="AO35" s="510"/>
      <c r="AP35" s="441"/>
      <c r="AQ35" s="441"/>
      <c r="AR35" s="441"/>
      <c r="AS35" s="441"/>
      <c r="AT35" s="441"/>
      <c r="AU35" s="441"/>
      <c r="AV35" s="441"/>
      <c r="AW35" s="441"/>
      <c r="AX35" s="441"/>
      <c r="AY35" s="441"/>
      <c r="AZ35" s="441"/>
      <c r="BA35" s="441"/>
      <c r="BB35" s="441"/>
      <c r="BC35" s="441"/>
      <c r="BD35" s="441"/>
      <c r="BE35" s="441"/>
      <c r="BF35" s="441"/>
      <c r="BG35" s="441"/>
      <c r="BH35" s="441"/>
      <c r="BI35" s="441"/>
      <c r="BJ35" s="441"/>
      <c r="BK35" s="441"/>
      <c r="BL35" s="441"/>
    </row>
    <row r="36" ht="16" customHeight="1">
      <c r="A36" s="470"/>
      <c r="B36" s="479">
        <f>IF('Window &amp; Door DATA INPUT'!B42&gt;1,1,0)</f>
        <v>0</v>
      </c>
      <c r="C36" s="479">
        <f>IF(AND(B36=1,OR(D36='Parameters'!$D$17,D36='Parameters'!$D$18,D36='Parameters'!$D$19,D36='Parameters'!$D$20,D36='Parameters'!$D$21)),1,0)</f>
        <v>0</v>
      </c>
      <c r="D36" t="s" s="480">
        <f>IF('Window &amp; Door DATA INPUT'!B42="","",'Window &amp; Door DATA INPUT'!B42)</f>
      </c>
      <c r="E36" t="s" s="480">
        <f>IF('Window &amp; Door DATA INPUT'!D42="","",'Window &amp; Door DATA INPUT'!D42)</f>
      </c>
      <c r="F36" t="s" s="480">
        <f>IF(B36=1,'Window &amp; Door DATA INPUT'!H42&amp;'RESULTS'!$H$5,"")</f>
      </c>
      <c r="G36" t="s" s="480">
        <f>IF(B36=1,VLOOKUP(F36,'Parameters'!$H$4:$I$20,2,FALSE),"")</f>
      </c>
      <c r="H36" t="s" s="480">
        <f>IF(OR('Window &amp; Door DATA INPUT'!J42='Parameters'!$K$4,'Window &amp; Door DATA INPUT'!J42='Parameters'!$K$11),"No",IF('Window &amp; Door DATA INPUT'!K42="","",'Window &amp; Door DATA INPUT'!K42))</f>
      </c>
      <c r="I36" t="s" s="480">
        <f>IF('Window &amp; Door DATA INPUT'!J42="","",'Window &amp; Door DATA INPUT'!J42)</f>
      </c>
      <c r="J36" t="s" s="480">
        <f>IF('Window &amp; Door DATA INPUT'!L42='Parameters'!$O$5,'Window &amp; Door DATA INPUT'!O42,IF(B36=1,'Window &amp; Door DATA INPUT'!N42*'Window &amp; Door DATA INPUT'!M42,""))</f>
      </c>
      <c r="K36" t="s" s="414">
        <f>IF('Window &amp; Door DATA INPUT'!J42="","",VLOOKUP('Window &amp; Door DATA INPUT'!J42,'Parameters'!$K$4:$L$16,2,FALSE))</f>
      </c>
      <c r="L36" t="s" s="480">
        <f>IF($H36="yes",IF($K36="Y",'Window &amp; Door DATA INPUT'!Q42,IF($K36="N",'Window &amp; Door DATA INPUT'!P42)),"")</f>
      </c>
      <c r="M36" t="s" s="480">
        <f>IF($H36="yes",IF($K36="Y",'Window &amp; Door DATA INPUT'!P42,IF($K36="N",'Window &amp; Door DATA INPUT'!Q42)),"")</f>
      </c>
      <c r="N36" t="s" s="480">
        <f>IF(L36="","",L36*M36)</f>
      </c>
      <c r="O36" t="s" s="414">
        <f>IF(AND(B36=1,C36=0,H36="yes"),"A",IF(AND(C36=1,H36="yes",'Window &amp; Door DATA INPUT'!R42="no"),"B",IF(AND(C36=1,H36="yes",'Window &amp; Door DATA INPUT'!R42="yes",'Window &amp; Door DATA INPUT'!S42="yes"),"C",IF(AND(C36=1,H36="yes",'Window &amp; Door DATA INPUT'!R42="yes",'Window &amp; Door DATA INPUT'!S42="no"),"D",""))))</f>
      </c>
      <c r="P36" t="s" s="414">
        <f>IF(AND(C36=1,H36="yes",OR(I36='Parameters'!$K$12,I36='Parameters'!$K$13,I36='Parameters'!$K$14)),"E",IF(AND(C36=1,H36="yes",NOT(OR(I36='Parameters'!$K$12,I36='Parameters'!$K$13,I36='Parameters'!$K$14))),"F",""))</f>
      </c>
      <c r="Q36" t="s" s="414">
        <f>IF(AND(B36=1,H36="yes"),VLOOKUP(I36,'Parameters'!$K$4:$M$16,3,FALSE),"")</f>
      </c>
      <c r="R36" t="s" s="414">
        <f>IF(AND(OR(O36="A",O36="B",O36="d"),Q36="input"),'Window &amp; Door DATA INPUT'!AA42,IF(AND(O36="C",Q36="input"),'Window &amp; Door DATA INPUT'!W42,Q36))</f>
      </c>
      <c r="S36" t="s" s="414">
        <f>IF('Window &amp; Door DATA INPUT'!X42="Yes",'Window &amp; Door DATA INPUT'!Y42/1000,IF(B36=1,"N/A",""))</f>
      </c>
      <c r="T36" t="s" s="480">
        <f>IF(Q36="calc",IF(P36="yes",'Window &amp; Door DATA INPUT'!U42/1000,('Parameters'!$S$4-'Window &amp; Door DATA INPUT'!Z42+'Parameters'!$Q$4)/1000),"")</f>
      </c>
      <c r="U36" t="s" s="480">
        <f>IF(Q36="calc",IF(T36&gt;M36,M36,T36),"")</f>
      </c>
      <c r="V36" t="s" s="480">
        <f>IF(AND(S36&gt;0,S36&lt;U36),S36,U36)</f>
      </c>
      <c r="W36" t="s" s="496">
        <f>IF(R36="calc",DEGREES(ASIN(V36/M36)),R36)</f>
      </c>
      <c r="X36" t="s" s="480">
        <f>IF(OR($H36="no",$B36=0),"",IF($I36='Parameters'!$K$15,$L36/($M36/2),$L36/$M36))</f>
      </c>
      <c r="Y36" t="s" s="480">
        <f>IF(OR($H36="no",$B36=0),"",IF($X36&lt;0.5,'Parameters'!$X$4,IF($X36&lt;1,'Parameters'!$Y$4,IF($X36&lt;2,'Parameters'!$Z$4,'Parameters'!$AA$4))))</f>
      </c>
      <c r="Z36" t="s" s="480">
        <f>IF(OR($H36="no",$B36=0),"",IF($X36&lt;0.5,'Parameters'!$X$5,IF($X36&lt;1,'Parameters'!$Y$5,IF($X36&lt;2,'Parameters'!$Z$5,'Parameters'!$AA$5))))</f>
      </c>
      <c r="AA36" t="s" s="480">
        <f>IF(OR($H36="no",$B36=0),"",IF($I36='Parameters'!$K$15,(2*($M36/2)*SIN(RADIANS($W36/2))),(2*$M36*SIN(RADIANS($W36/2)))))</f>
      </c>
      <c r="AB36" t="s" s="480">
        <f>IF(OR($H36="no",$B36=0),"",$Z36*(1-EXP(-$Y36*$W36)))</f>
      </c>
      <c r="AC36" t="s" s="480">
        <f>IF(OR($H36="no",$B36=0),"",IF($I36='Parameters'!$K$15,$AB36*$N36/2,$AB36*$N36))</f>
      </c>
      <c r="AD36" t="s" s="497">
        <f>IF(OR($H36="no",$B36=0),"",IF($I36='Parameters'!$K$15,$AC36*2/'Parameters'!$AB$4,$AC36/'Parameters'!$AB$4))</f>
      </c>
      <c r="AE36" t="s" s="487">
        <f>IF(AND(O36="B",Q36="calc"),V36,IF(AND(O36="C",Q36="calc"),'Window &amp; Door DATA INPUT'!T42/1000,""))</f>
      </c>
      <c r="AF36" t="s" s="414">
        <f>IF(AND(O36="B",Q36="input"),'Window &amp; Door DATA INPUT'!AA42,IF(AND(O36="C",Q36="input",P36="F"),'Window &amp; Door DATA INPUT'!V42,IF(AND(O36="C",P36="E"),0,IF(AND(O36="D"),0,IF(AND(B36=1,C36=0),"",(Q36))))))</f>
      </c>
      <c r="AG36" t="s" s="496">
        <f>IF(AF36="calc",DEGREES(ASIN(AE36/M36)),AF36)</f>
      </c>
      <c r="AH36" t="s" s="480">
        <f>IF(OR($H36="no",$C36=0),"",IF($I36='Parameters'!$K$15,$L36/($M36/2),$L36/$M36))</f>
      </c>
      <c r="AI36" t="s" s="480">
        <f>IF(OR($H36="no",$C36=0),"",IF($AH36&lt;0.5,'Parameters'!$X$4,IF($AH36&lt;1,'Parameters'!$Y$4,IF($AH36&lt;2,'Parameters'!$Z$4,'Parameters'!$AA$4))))</f>
      </c>
      <c r="AJ36" t="s" s="480">
        <f>IF(OR($H36="no",$C36=0),"",IF($AH36&lt;0.5,'Parameters'!$X$5,IF($AH36&lt;1,'Parameters'!$Y$5,IF($AH36&lt;2,'Parameters'!$Z$5,'Parameters'!$AA$5))))</f>
      </c>
      <c r="AK36" t="s" s="480">
        <f>IF(OR($H36="no",$C36=0),"",IF($I36='Parameters'!$K$15,(2*($M36/2)*SIN(RADIANS($AG36/2))),(2*$M36*SIN(RADIANS($AG36/2)))))</f>
      </c>
      <c r="AL36" t="s" s="480">
        <f>IF(OR($H36="no",$C36=0),"",$AJ36*(1-EXP(-$AI36*$AG36)))</f>
      </c>
      <c r="AM36" t="s" s="480">
        <f>IF(OR($H36="no",$C36=0),"",IF($I36='Parameters'!$K$15,$AL36*$N36/2,$AL36*$N36))</f>
      </c>
      <c r="AN36" t="s" s="497">
        <f>IF(OR($H36="no",$C36=0),"",IF($I36='Parameters'!$K$15,$AM36*2/'Parameters'!$AB$4,$AM36/'Parameters'!$AB$4))</f>
      </c>
      <c r="AO36" s="510"/>
      <c r="AP36" s="441"/>
      <c r="AQ36" s="441"/>
      <c r="AR36" s="441"/>
      <c r="AS36" s="441"/>
      <c r="AT36" s="441"/>
      <c r="AU36" s="441"/>
      <c r="AV36" s="441"/>
      <c r="AW36" s="441"/>
      <c r="AX36" s="441"/>
      <c r="AY36" s="441"/>
      <c r="AZ36" s="441"/>
      <c r="BA36" s="441"/>
      <c r="BB36" s="441"/>
      <c r="BC36" s="441"/>
      <c r="BD36" s="441"/>
      <c r="BE36" s="441"/>
      <c r="BF36" s="441"/>
      <c r="BG36" s="441"/>
      <c r="BH36" s="441"/>
      <c r="BI36" s="441"/>
      <c r="BJ36" s="441"/>
      <c r="BK36" s="441"/>
      <c r="BL36" s="441"/>
    </row>
    <row r="37" ht="16" customHeight="1">
      <c r="A37" s="470"/>
      <c r="B37" s="479">
        <f>IF('Window &amp; Door DATA INPUT'!B43&gt;1,1,0)</f>
        <v>0</v>
      </c>
      <c r="C37" s="479">
        <f>IF(AND(B37=1,OR(D37='Parameters'!$D$17,D37='Parameters'!$D$18,D37='Parameters'!$D$19,D37='Parameters'!$D$20,D37='Parameters'!$D$21)),1,0)</f>
        <v>0</v>
      </c>
      <c r="D37" t="s" s="480">
        <f>IF('Window &amp; Door DATA INPUT'!B43="","",'Window &amp; Door DATA INPUT'!B43)</f>
      </c>
      <c r="E37" t="s" s="480">
        <f>IF('Window &amp; Door DATA INPUT'!D43="","",'Window &amp; Door DATA INPUT'!D43)</f>
      </c>
      <c r="F37" t="s" s="480">
        <f>IF(B37=1,'Window &amp; Door DATA INPUT'!H43&amp;'RESULTS'!$H$5,"")</f>
      </c>
      <c r="G37" t="s" s="480">
        <f>IF(B37=1,VLOOKUP(F37,'Parameters'!$H$4:$I$20,2,FALSE),"")</f>
      </c>
      <c r="H37" t="s" s="480">
        <f>IF(OR('Window &amp; Door DATA INPUT'!J43='Parameters'!$K$4,'Window &amp; Door DATA INPUT'!J43='Parameters'!$K$11),"No",IF('Window &amp; Door DATA INPUT'!K43="","",'Window &amp; Door DATA INPUT'!K43))</f>
      </c>
      <c r="I37" t="s" s="480">
        <f>IF('Window &amp; Door DATA INPUT'!J43="","",'Window &amp; Door DATA INPUT'!J43)</f>
      </c>
      <c r="J37" t="s" s="480">
        <f>IF('Window &amp; Door DATA INPUT'!L43='Parameters'!$O$5,'Window &amp; Door DATA INPUT'!O43,IF(B37=1,'Window &amp; Door DATA INPUT'!N43*'Window &amp; Door DATA INPUT'!M43,""))</f>
      </c>
      <c r="K37" t="s" s="414">
        <f>IF('Window &amp; Door DATA INPUT'!J43="","",VLOOKUP('Window &amp; Door DATA INPUT'!J43,'Parameters'!$K$4:$L$16,2,FALSE))</f>
      </c>
      <c r="L37" t="s" s="480">
        <f>IF($H37="yes",IF($K37="Y",'Window &amp; Door DATA INPUT'!Q43,IF($K37="N",'Window &amp; Door DATA INPUT'!P43)),"")</f>
      </c>
      <c r="M37" t="s" s="480">
        <f>IF($H37="yes",IF($K37="Y",'Window &amp; Door DATA INPUT'!P43,IF($K37="N",'Window &amp; Door DATA INPUT'!Q43)),"")</f>
      </c>
      <c r="N37" t="s" s="480">
        <f>IF(L37="","",L37*M37)</f>
      </c>
      <c r="O37" t="s" s="414">
        <f>IF(AND(B37=1,C37=0,H37="yes"),"A",IF(AND(C37=1,H37="yes",'Window &amp; Door DATA INPUT'!R43="no"),"B",IF(AND(C37=1,H37="yes",'Window &amp; Door DATA INPUT'!R43="yes",'Window &amp; Door DATA INPUT'!S43="yes"),"C",IF(AND(C37=1,H37="yes",'Window &amp; Door DATA INPUT'!R43="yes",'Window &amp; Door DATA INPUT'!S43="no"),"D",""))))</f>
      </c>
      <c r="P37" t="s" s="414">
        <f>IF(AND(C37=1,H37="yes",OR(I37='Parameters'!$K$12,I37='Parameters'!$K$13,I37='Parameters'!$K$14)),"E",IF(AND(C37=1,H37="yes",NOT(OR(I37='Parameters'!$K$12,I37='Parameters'!$K$13,I37='Parameters'!$K$14))),"F",""))</f>
      </c>
      <c r="Q37" t="s" s="414">
        <f>IF(AND(B37=1,H37="yes"),VLOOKUP(I37,'Parameters'!$K$4:$M$16,3,FALSE),"")</f>
      </c>
      <c r="R37" t="s" s="414">
        <f>IF(AND(OR(O37="A",O37="B",O37="d"),Q37="input"),'Window &amp; Door DATA INPUT'!AA43,IF(AND(O37="C",Q37="input"),'Window &amp; Door DATA INPUT'!W43,Q37))</f>
      </c>
      <c r="S37" t="s" s="414">
        <f>IF('Window &amp; Door DATA INPUT'!X43="Yes",'Window &amp; Door DATA INPUT'!Y43/1000,IF(B37=1,"N/A",""))</f>
      </c>
      <c r="T37" t="s" s="480">
        <f>IF(Q37="calc",IF(P37="yes",'Window &amp; Door DATA INPUT'!U43/1000,('Parameters'!$S$4-'Window &amp; Door DATA INPUT'!Z43+'Parameters'!$Q$4)/1000),"")</f>
      </c>
      <c r="U37" t="s" s="480">
        <f>IF(Q37="calc",IF(T37&gt;M37,M37,T37),"")</f>
      </c>
      <c r="V37" t="s" s="480">
        <f>IF(AND(S37&gt;0,S37&lt;U37),S37,U37)</f>
      </c>
      <c r="W37" t="s" s="496">
        <f>IF(R37="calc",DEGREES(ASIN(V37/M37)),R37)</f>
      </c>
      <c r="X37" t="s" s="480">
        <f>IF(OR($H37="no",$B37=0),"",IF($I37='Parameters'!$K$15,$L37/($M37/2),$L37/$M37))</f>
      </c>
      <c r="Y37" t="s" s="480">
        <f>IF(OR($H37="no",$B37=0),"",IF($X37&lt;0.5,'Parameters'!$X$4,IF($X37&lt;1,'Parameters'!$Y$4,IF($X37&lt;2,'Parameters'!$Z$4,'Parameters'!$AA$4))))</f>
      </c>
      <c r="Z37" t="s" s="480">
        <f>IF(OR($H37="no",$B37=0),"",IF($X37&lt;0.5,'Parameters'!$X$5,IF($X37&lt;1,'Parameters'!$Y$5,IF($X37&lt;2,'Parameters'!$Z$5,'Parameters'!$AA$5))))</f>
      </c>
      <c r="AA37" t="s" s="480">
        <f>IF(OR($H37="no",$B37=0),"",IF($I37='Parameters'!$K$15,(2*($M37/2)*SIN(RADIANS($W37/2))),(2*$M37*SIN(RADIANS($W37/2)))))</f>
      </c>
      <c r="AB37" t="s" s="480">
        <f>IF(OR($H37="no",$B37=0),"",$Z37*(1-EXP(-$Y37*$W37)))</f>
      </c>
      <c r="AC37" t="s" s="480">
        <f>IF(OR($H37="no",$B37=0),"",IF($I37='Parameters'!$K$15,$AB37*$N37/2,$AB37*$N37))</f>
      </c>
      <c r="AD37" t="s" s="497">
        <f>IF(OR($H37="no",$B37=0),"",IF($I37='Parameters'!$K$15,$AC37*2/'Parameters'!$AB$4,$AC37/'Parameters'!$AB$4))</f>
      </c>
      <c r="AE37" t="s" s="487">
        <f>IF(AND(O37="B",Q37="calc"),V37,IF(AND(O37="C",Q37="calc"),'Window &amp; Door DATA INPUT'!T43/1000,""))</f>
      </c>
      <c r="AF37" t="s" s="414">
        <f>IF(AND(O37="B",Q37="input"),'Window &amp; Door DATA INPUT'!AA43,IF(AND(O37="C",Q37="input",P37="F"),'Window &amp; Door DATA INPUT'!V43,IF(AND(O37="C",P37="E"),0,IF(AND(O37="D"),0,IF(AND(B37=1,C37=0),"",(Q37))))))</f>
      </c>
      <c r="AG37" t="s" s="496">
        <f>IF(AF37="calc",DEGREES(ASIN(AE37/M37)),AF37)</f>
      </c>
      <c r="AH37" t="s" s="480">
        <f>IF(OR($H37="no",$C37=0),"",IF($I37='Parameters'!$K$15,$L37/($M37/2),$L37/$M37))</f>
      </c>
      <c r="AI37" t="s" s="480">
        <f>IF(OR($H37="no",$C37=0),"",IF($AH37&lt;0.5,'Parameters'!$X$4,IF($AH37&lt;1,'Parameters'!$Y$4,IF($AH37&lt;2,'Parameters'!$Z$4,'Parameters'!$AA$4))))</f>
      </c>
      <c r="AJ37" t="s" s="480">
        <f>IF(OR($H37="no",$C37=0),"",IF($AH37&lt;0.5,'Parameters'!$X$5,IF($AH37&lt;1,'Parameters'!$Y$5,IF($AH37&lt;2,'Parameters'!$Z$5,'Parameters'!$AA$5))))</f>
      </c>
      <c r="AK37" t="s" s="480">
        <f>IF(OR($H37="no",$C37=0),"",IF($I37='Parameters'!$K$15,(2*($M37/2)*SIN(RADIANS($AG37/2))),(2*$M37*SIN(RADIANS($AG37/2)))))</f>
      </c>
      <c r="AL37" t="s" s="480">
        <f>IF(OR($H37="no",$C37=0),"",$AJ37*(1-EXP(-$AI37*$AG37)))</f>
      </c>
      <c r="AM37" t="s" s="480">
        <f>IF(OR($H37="no",$C37=0),"",IF($I37='Parameters'!$K$15,$AL37*$N37/2,$AL37*$N37))</f>
      </c>
      <c r="AN37" t="s" s="497">
        <f>IF(OR($H37="no",$C37=0),"",IF($I37='Parameters'!$K$15,$AM37*2/'Parameters'!$AB$4,$AM37/'Parameters'!$AB$4))</f>
      </c>
      <c r="AO37" s="510"/>
      <c r="AP37" s="441"/>
      <c r="AQ37" s="441"/>
      <c r="AR37" s="441"/>
      <c r="AS37" s="441"/>
      <c r="AT37" s="441"/>
      <c r="AU37" s="441"/>
      <c r="AV37" s="441"/>
      <c r="AW37" s="441"/>
      <c r="AX37" s="441"/>
      <c r="AY37" s="441"/>
      <c r="AZ37" s="441"/>
      <c r="BA37" s="441"/>
      <c r="BB37" s="441"/>
      <c r="BC37" s="441"/>
      <c r="BD37" s="441"/>
      <c r="BE37" s="441"/>
      <c r="BF37" s="441"/>
      <c r="BG37" s="441"/>
      <c r="BH37" s="441"/>
      <c r="BI37" s="441"/>
      <c r="BJ37" s="441"/>
      <c r="BK37" s="441"/>
      <c r="BL37" s="441"/>
    </row>
    <row r="38" ht="16" customHeight="1">
      <c r="A38" s="470"/>
      <c r="B38" s="479">
        <f>IF('Window &amp; Door DATA INPUT'!B44&gt;1,1,0)</f>
        <v>0</v>
      </c>
      <c r="C38" s="479">
        <f>IF(AND(B38=1,OR(D38='Parameters'!$D$17,D38='Parameters'!$D$18,D38='Parameters'!$D$19,D38='Parameters'!$D$20,D38='Parameters'!$D$21)),1,0)</f>
        <v>0</v>
      </c>
      <c r="D38" t="s" s="480">
        <f>IF('Window &amp; Door DATA INPUT'!B44="","",'Window &amp; Door DATA INPUT'!B44)</f>
      </c>
      <c r="E38" t="s" s="480">
        <f>IF('Window &amp; Door DATA INPUT'!D44="","",'Window &amp; Door DATA INPUT'!D44)</f>
      </c>
      <c r="F38" t="s" s="480">
        <f>IF(B38=1,'Window &amp; Door DATA INPUT'!H44&amp;'RESULTS'!$H$5,"")</f>
      </c>
      <c r="G38" t="s" s="480">
        <f>IF(B38=1,VLOOKUP(F38,'Parameters'!$H$4:$I$20,2,FALSE),"")</f>
      </c>
      <c r="H38" t="s" s="480">
        <f>IF(OR('Window &amp; Door DATA INPUT'!J44='Parameters'!$K$4,'Window &amp; Door DATA INPUT'!J44='Parameters'!$K$11),"No",IF('Window &amp; Door DATA INPUT'!K44="","",'Window &amp; Door DATA INPUT'!K44))</f>
      </c>
      <c r="I38" t="s" s="480">
        <f>IF('Window &amp; Door DATA INPUT'!J44="","",'Window &amp; Door DATA INPUT'!J44)</f>
      </c>
      <c r="J38" t="s" s="480">
        <f>IF('Window &amp; Door DATA INPUT'!L44='Parameters'!$O$5,'Window &amp; Door DATA INPUT'!O44,IF(B38=1,'Window &amp; Door DATA INPUT'!N44*'Window &amp; Door DATA INPUT'!M44,""))</f>
      </c>
      <c r="K38" t="s" s="414">
        <f>IF('Window &amp; Door DATA INPUT'!J44="","",VLOOKUP('Window &amp; Door DATA INPUT'!J44,'Parameters'!$K$4:$L$16,2,FALSE))</f>
      </c>
      <c r="L38" t="s" s="480">
        <f>IF($H38="yes",IF($K38="Y",'Window &amp; Door DATA INPUT'!Q44,IF($K38="N",'Window &amp; Door DATA INPUT'!P44)),"")</f>
      </c>
      <c r="M38" t="s" s="480">
        <f>IF($H38="yes",IF($K38="Y",'Window &amp; Door DATA INPUT'!P44,IF($K38="N",'Window &amp; Door DATA INPUT'!Q44)),"")</f>
      </c>
      <c r="N38" t="s" s="480">
        <f>IF(L38="","",L38*M38)</f>
      </c>
      <c r="O38" t="s" s="414">
        <f>IF(AND(B38=1,C38=0,H38="yes"),"A",IF(AND(C38=1,H38="yes",'Window &amp; Door DATA INPUT'!R44="no"),"B",IF(AND(C38=1,H38="yes",'Window &amp; Door DATA INPUT'!R44="yes",'Window &amp; Door DATA INPUT'!S44="yes"),"C",IF(AND(C38=1,H38="yes",'Window &amp; Door DATA INPUT'!R44="yes",'Window &amp; Door DATA INPUT'!S44="no"),"D",""))))</f>
      </c>
      <c r="P38" t="s" s="414">
        <f>IF(AND(C38=1,H38="yes",OR(I38='Parameters'!$K$12,I38='Parameters'!$K$13,I38='Parameters'!$K$14)),"E",IF(AND(C38=1,H38="yes",NOT(OR(I38='Parameters'!$K$12,I38='Parameters'!$K$13,I38='Parameters'!$K$14))),"F",""))</f>
      </c>
      <c r="Q38" t="s" s="414">
        <f>IF(AND(B38=1,H38="yes"),VLOOKUP(I38,'Parameters'!$K$4:$M$16,3,FALSE),"")</f>
      </c>
      <c r="R38" t="s" s="414">
        <f>IF(AND(OR(O38="A",O38="B",O38="d"),Q38="input"),'Window &amp; Door DATA INPUT'!AA44,IF(AND(O38="C",Q38="input"),'Window &amp; Door DATA INPUT'!W44,Q38))</f>
      </c>
      <c r="S38" t="s" s="414">
        <f>IF('Window &amp; Door DATA INPUT'!X44="Yes",'Window &amp; Door DATA INPUT'!Y44/1000,IF(B38=1,"N/A",""))</f>
      </c>
      <c r="T38" t="s" s="480">
        <f>IF(Q38="calc",IF(P38="yes",'Window &amp; Door DATA INPUT'!U44/1000,('Parameters'!$S$4-'Window &amp; Door DATA INPUT'!Z44+'Parameters'!$Q$4)/1000),"")</f>
      </c>
      <c r="U38" t="s" s="480">
        <f>IF(Q38="calc",IF(T38&gt;M38,M38,T38),"")</f>
      </c>
      <c r="V38" t="s" s="480">
        <f>IF(AND(S38&gt;0,S38&lt;U38),S38,U38)</f>
      </c>
      <c r="W38" t="s" s="496">
        <f>IF(R38="calc",DEGREES(ASIN(V38/M38)),R38)</f>
      </c>
      <c r="X38" t="s" s="480">
        <f>IF(OR($H38="no",$B38=0),"",IF($I38='Parameters'!$K$15,$L38/($M38/2),$L38/$M38))</f>
      </c>
      <c r="Y38" t="s" s="480">
        <f>IF(OR($H38="no",$B38=0),"",IF($X38&lt;0.5,'Parameters'!$X$4,IF($X38&lt;1,'Parameters'!$Y$4,IF($X38&lt;2,'Parameters'!$Z$4,'Parameters'!$AA$4))))</f>
      </c>
      <c r="Z38" t="s" s="480">
        <f>IF(OR($H38="no",$B38=0),"",IF($X38&lt;0.5,'Parameters'!$X$5,IF($X38&lt;1,'Parameters'!$Y$5,IF($X38&lt;2,'Parameters'!$Z$5,'Parameters'!$AA$5))))</f>
      </c>
      <c r="AA38" t="s" s="480">
        <f>IF(OR($H38="no",$B38=0),"",IF($I38='Parameters'!$K$15,(2*($M38/2)*SIN(RADIANS($W38/2))),(2*$M38*SIN(RADIANS($W38/2)))))</f>
      </c>
      <c r="AB38" t="s" s="480">
        <f>IF(OR($H38="no",$B38=0),"",$Z38*(1-EXP(-$Y38*$W38)))</f>
      </c>
      <c r="AC38" t="s" s="480">
        <f>IF(OR($H38="no",$B38=0),"",IF($I38='Parameters'!$K$15,$AB38*$N38/2,$AB38*$N38))</f>
      </c>
      <c r="AD38" t="s" s="497">
        <f>IF(OR($H38="no",$B38=0),"",IF($I38='Parameters'!$K$15,$AC38*2/'Parameters'!$AB$4,$AC38/'Parameters'!$AB$4))</f>
      </c>
      <c r="AE38" t="s" s="487">
        <f>IF(AND(O38="B",Q38="calc"),V38,IF(AND(O38="C",Q38="calc"),'Window &amp; Door DATA INPUT'!T44/1000,""))</f>
      </c>
      <c r="AF38" t="s" s="414">
        <f>IF(AND(O38="B",Q38="input"),'Window &amp; Door DATA INPUT'!AA44,IF(AND(O38="C",Q38="input",P38="F"),'Window &amp; Door DATA INPUT'!V44,IF(AND(O38="C",P38="E"),0,IF(AND(O38="D"),0,IF(AND(B38=1,C38=0),"",(Q38))))))</f>
      </c>
      <c r="AG38" t="s" s="496">
        <f>IF(AF38="calc",DEGREES(ASIN(AE38/M38)),AF38)</f>
      </c>
      <c r="AH38" t="s" s="480">
        <f>IF(OR($H38="no",$C38=0),"",IF($I38='Parameters'!$K$15,$L38/($M38/2),$L38/$M38))</f>
      </c>
      <c r="AI38" t="s" s="480">
        <f>IF(OR($H38="no",$C38=0),"",IF($AH38&lt;0.5,'Parameters'!$X$4,IF($AH38&lt;1,'Parameters'!$Y$4,IF($AH38&lt;2,'Parameters'!$Z$4,'Parameters'!$AA$4))))</f>
      </c>
      <c r="AJ38" t="s" s="480">
        <f>IF(OR($H38="no",$C38=0),"",IF($AH38&lt;0.5,'Parameters'!$X$5,IF($AH38&lt;1,'Parameters'!$Y$5,IF($AH38&lt;2,'Parameters'!$Z$5,'Parameters'!$AA$5))))</f>
      </c>
      <c r="AK38" t="s" s="480">
        <f>IF(OR($H38="no",$C38=0),"",IF($I38='Parameters'!$K$15,(2*($M38/2)*SIN(RADIANS($AG38/2))),(2*$M38*SIN(RADIANS($AG38/2)))))</f>
      </c>
      <c r="AL38" t="s" s="480">
        <f>IF(OR($H38="no",$C38=0),"",$AJ38*(1-EXP(-$AI38*$AG38)))</f>
      </c>
      <c r="AM38" t="s" s="480">
        <f>IF(OR($H38="no",$C38=0),"",IF($I38='Parameters'!$K$15,$AL38*$N38/2,$AL38*$N38))</f>
      </c>
      <c r="AN38" t="s" s="497">
        <f>IF(OR($H38="no",$C38=0),"",IF($I38='Parameters'!$K$15,$AM38*2/'Parameters'!$AB$4,$AM38/'Parameters'!$AB$4))</f>
      </c>
      <c r="AO38" s="510"/>
      <c r="AP38" s="441"/>
      <c r="AQ38" s="441"/>
      <c r="AR38" s="441"/>
      <c r="AS38" s="441"/>
      <c r="AT38" s="441"/>
      <c r="AU38" s="441"/>
      <c r="AV38" s="441"/>
      <c r="AW38" s="441"/>
      <c r="AX38" s="441"/>
      <c r="AY38" s="441"/>
      <c r="AZ38" s="441"/>
      <c r="BA38" s="441"/>
      <c r="BB38" s="441"/>
      <c r="BC38" s="441"/>
      <c r="BD38" s="441"/>
      <c r="BE38" s="441"/>
      <c r="BF38" s="441"/>
      <c r="BG38" s="441"/>
      <c r="BH38" s="441"/>
      <c r="BI38" s="441"/>
      <c r="BJ38" s="441"/>
      <c r="BK38" s="441"/>
      <c r="BL38" s="441"/>
    </row>
    <row r="39" ht="16" customHeight="1">
      <c r="A39" s="470"/>
      <c r="B39" s="479">
        <f>IF('Window &amp; Door DATA INPUT'!B45&gt;1,1,0)</f>
        <v>0</v>
      </c>
      <c r="C39" s="479">
        <f>IF(AND(B39=1,OR(D39='Parameters'!$D$17,D39='Parameters'!$D$18,D39='Parameters'!$D$19,D39='Parameters'!$D$20,D39='Parameters'!$D$21)),1,0)</f>
        <v>0</v>
      </c>
      <c r="D39" t="s" s="480">
        <f>IF('Window &amp; Door DATA INPUT'!B45="","",'Window &amp; Door DATA INPUT'!B45)</f>
      </c>
      <c r="E39" t="s" s="480">
        <f>IF('Window &amp; Door DATA INPUT'!D45="","",'Window &amp; Door DATA INPUT'!D45)</f>
      </c>
      <c r="F39" t="s" s="480">
        <f>IF(B39=1,'Window &amp; Door DATA INPUT'!H45&amp;'RESULTS'!$H$5,"")</f>
      </c>
      <c r="G39" t="s" s="480">
        <f>IF(B39=1,VLOOKUP(F39,'Parameters'!$H$4:$I$20,2,FALSE),"")</f>
      </c>
      <c r="H39" t="s" s="480">
        <f>IF(OR('Window &amp; Door DATA INPUT'!J45='Parameters'!$K$4,'Window &amp; Door DATA INPUT'!J45='Parameters'!$K$11),"No",IF('Window &amp; Door DATA INPUT'!K45="","",'Window &amp; Door DATA INPUT'!K45))</f>
      </c>
      <c r="I39" t="s" s="480">
        <f>IF('Window &amp; Door DATA INPUT'!J45="","",'Window &amp; Door DATA INPUT'!J45)</f>
      </c>
      <c r="J39" t="s" s="480">
        <f>IF('Window &amp; Door DATA INPUT'!L45='Parameters'!$O$5,'Window &amp; Door DATA INPUT'!O45,IF(B39=1,'Window &amp; Door DATA INPUT'!N45*'Window &amp; Door DATA INPUT'!M45,""))</f>
      </c>
      <c r="K39" t="s" s="414">
        <f>IF('Window &amp; Door DATA INPUT'!J45="","",VLOOKUP('Window &amp; Door DATA INPUT'!J45,'Parameters'!$K$4:$L$16,2,FALSE))</f>
      </c>
      <c r="L39" t="s" s="480">
        <f>IF($H39="yes",IF($K39="Y",'Window &amp; Door DATA INPUT'!Q45,IF($K39="N",'Window &amp; Door DATA INPUT'!P45)),"")</f>
      </c>
      <c r="M39" t="s" s="480">
        <f>IF($H39="yes",IF($K39="Y",'Window &amp; Door DATA INPUT'!P45,IF($K39="N",'Window &amp; Door DATA INPUT'!Q45)),"")</f>
      </c>
      <c r="N39" t="s" s="480">
        <f>IF(L39="","",L39*M39)</f>
      </c>
      <c r="O39" t="s" s="414">
        <f>IF(AND(B39=1,C39=0,H39="yes"),"A",IF(AND(C39=1,H39="yes",'Window &amp; Door DATA INPUT'!R45="no"),"B",IF(AND(C39=1,H39="yes",'Window &amp; Door DATA INPUT'!R45="yes",'Window &amp; Door DATA INPUT'!S45="yes"),"C",IF(AND(C39=1,H39="yes",'Window &amp; Door DATA INPUT'!R45="yes",'Window &amp; Door DATA INPUT'!S45="no"),"D",""))))</f>
      </c>
      <c r="P39" t="s" s="414">
        <f>IF(AND(C39=1,H39="yes",OR(I39='Parameters'!$K$12,I39='Parameters'!$K$13,I39='Parameters'!$K$14)),"E",IF(AND(C39=1,H39="yes",NOT(OR(I39='Parameters'!$K$12,I39='Parameters'!$K$13,I39='Parameters'!$K$14))),"F",""))</f>
      </c>
      <c r="Q39" t="s" s="414">
        <f>IF(AND(B39=1,H39="yes"),VLOOKUP(I39,'Parameters'!$K$4:$M$16,3,FALSE),"")</f>
      </c>
      <c r="R39" t="s" s="414">
        <f>IF(AND(OR(O39="A",O39="B",O39="d"),Q39="input"),'Window &amp; Door DATA INPUT'!AA45,IF(AND(O39="C",Q39="input"),'Window &amp; Door DATA INPUT'!W45,Q39))</f>
      </c>
      <c r="S39" t="s" s="414">
        <f>IF('Window &amp; Door DATA INPUT'!X45="Yes",'Window &amp; Door DATA INPUT'!Y45/1000,IF(B39=1,"N/A",""))</f>
      </c>
      <c r="T39" t="s" s="480">
        <f>IF(Q39="calc",IF(P39="yes",'Window &amp; Door DATA INPUT'!U45/1000,('Parameters'!$S$4-'Window &amp; Door DATA INPUT'!Z45+'Parameters'!$Q$4)/1000),"")</f>
      </c>
      <c r="U39" t="s" s="480">
        <f>IF(Q39="calc",IF(T39&gt;M39,M39,T39),"")</f>
      </c>
      <c r="V39" t="s" s="480">
        <f>IF(AND(S39&gt;0,S39&lt;U39),S39,U39)</f>
      </c>
      <c r="W39" t="s" s="496">
        <f>IF(R39="calc",DEGREES(ASIN(V39/M39)),R39)</f>
      </c>
      <c r="X39" t="s" s="480">
        <f>IF(OR($H39="no",$B39=0),"",IF($I39='Parameters'!$K$15,$L39/($M39/2),$L39/$M39))</f>
      </c>
      <c r="Y39" t="s" s="480">
        <f>IF(OR($H39="no",$B39=0),"",IF($X39&lt;0.5,'Parameters'!$X$4,IF($X39&lt;1,'Parameters'!$Y$4,IF($X39&lt;2,'Parameters'!$Z$4,'Parameters'!$AA$4))))</f>
      </c>
      <c r="Z39" t="s" s="480">
        <f>IF(OR($H39="no",$B39=0),"",IF($X39&lt;0.5,'Parameters'!$X$5,IF($X39&lt;1,'Parameters'!$Y$5,IF($X39&lt;2,'Parameters'!$Z$5,'Parameters'!$AA$5))))</f>
      </c>
      <c r="AA39" t="s" s="480">
        <f>IF(OR($H39="no",$B39=0),"",IF($I39='Parameters'!$K$15,(2*($M39/2)*SIN(RADIANS($W39/2))),(2*$M39*SIN(RADIANS($W39/2)))))</f>
      </c>
      <c r="AB39" t="s" s="480">
        <f>IF(OR($H39="no",$B39=0),"",$Z39*(1-EXP(-$Y39*$W39)))</f>
      </c>
      <c r="AC39" t="s" s="480">
        <f>IF(OR($H39="no",$B39=0),"",IF($I39='Parameters'!$K$15,$AB39*$N39/2,$AB39*$N39))</f>
      </c>
      <c r="AD39" t="s" s="497">
        <f>IF(OR($H39="no",$B39=0),"",IF($I39='Parameters'!$K$15,$AC39*2/'Parameters'!$AB$4,$AC39/'Parameters'!$AB$4))</f>
      </c>
      <c r="AE39" t="s" s="487">
        <f>IF(AND(O39="B",Q39="calc"),V39,IF(AND(O39="C",Q39="calc"),'Window &amp; Door DATA INPUT'!T45/1000,""))</f>
      </c>
      <c r="AF39" t="s" s="414">
        <f>IF(AND(O39="B",Q39="input"),'Window &amp; Door DATA INPUT'!AA45,IF(AND(O39="C",Q39="input",P39="F"),'Window &amp; Door DATA INPUT'!V45,IF(AND(O39="C",P39="E"),0,IF(AND(O39="D"),0,IF(AND(B39=1,C39=0),"",(Q39))))))</f>
      </c>
      <c r="AG39" t="s" s="496">
        <f>IF(AF39="calc",DEGREES(ASIN(AE39/M39)),AF39)</f>
      </c>
      <c r="AH39" t="s" s="480">
        <f>IF(OR($H39="no",$C39=0),"",IF($I39='Parameters'!$K$15,$L39/($M39/2),$L39/$M39))</f>
      </c>
      <c r="AI39" t="s" s="480">
        <f>IF(OR($H39="no",$C39=0),"",IF($AH39&lt;0.5,'Parameters'!$X$4,IF($AH39&lt;1,'Parameters'!$Y$4,IF($AH39&lt;2,'Parameters'!$Z$4,'Parameters'!$AA$4))))</f>
      </c>
      <c r="AJ39" t="s" s="480">
        <f>IF(OR($H39="no",$C39=0),"",IF($AH39&lt;0.5,'Parameters'!$X$5,IF($AH39&lt;1,'Parameters'!$Y$5,IF($AH39&lt;2,'Parameters'!$Z$5,'Parameters'!$AA$5))))</f>
      </c>
      <c r="AK39" t="s" s="480">
        <f>IF(OR($H39="no",$C39=0),"",IF($I39='Parameters'!$K$15,(2*($M39/2)*SIN(RADIANS($AG39/2))),(2*$M39*SIN(RADIANS($AG39/2)))))</f>
      </c>
      <c r="AL39" t="s" s="480">
        <f>IF(OR($H39="no",$C39=0),"",$AJ39*(1-EXP(-$AI39*$AG39)))</f>
      </c>
      <c r="AM39" t="s" s="480">
        <f>IF(OR($H39="no",$C39=0),"",IF($I39='Parameters'!$K$15,$AL39*$N39/2,$AL39*$N39))</f>
      </c>
      <c r="AN39" t="s" s="497">
        <f>IF(OR($H39="no",$C39=0),"",IF($I39='Parameters'!$K$15,$AM39*2/'Parameters'!$AB$4,$AM39/'Parameters'!$AB$4))</f>
      </c>
      <c r="AO39" s="510"/>
      <c r="AP39" s="441"/>
      <c r="AQ39" s="441"/>
      <c r="AR39" s="441"/>
      <c r="AS39" s="441"/>
      <c r="AT39" s="441"/>
      <c r="AU39" s="441"/>
      <c r="AV39" s="441"/>
      <c r="AW39" s="441"/>
      <c r="AX39" s="441"/>
      <c r="AY39" s="441"/>
      <c r="AZ39" s="441"/>
      <c r="BA39" s="441"/>
      <c r="BB39" s="441"/>
      <c r="BC39" s="441"/>
      <c r="BD39" s="441"/>
      <c r="BE39" s="441"/>
      <c r="BF39" s="441"/>
      <c r="BG39" s="441"/>
      <c r="BH39" s="441"/>
      <c r="BI39" s="441"/>
      <c r="BJ39" s="441"/>
      <c r="BK39" s="441"/>
      <c r="BL39" s="441"/>
    </row>
    <row r="40" ht="16" customHeight="1">
      <c r="A40" s="470"/>
      <c r="B40" s="479">
        <f>IF('Window &amp; Door DATA INPUT'!B46&gt;1,1,0)</f>
        <v>0</v>
      </c>
      <c r="C40" s="479">
        <f>IF(AND(B40=1,OR(D40='Parameters'!$D$17,D40='Parameters'!$D$18,D40='Parameters'!$D$19,D40='Parameters'!$D$20,D40='Parameters'!$D$21)),1,0)</f>
        <v>0</v>
      </c>
      <c r="D40" t="s" s="480">
        <f>IF('Window &amp; Door DATA INPUT'!B46="","",'Window &amp; Door DATA INPUT'!B46)</f>
      </c>
      <c r="E40" t="s" s="480">
        <f>IF('Window &amp; Door DATA INPUT'!D46="","",'Window &amp; Door DATA INPUT'!D46)</f>
      </c>
      <c r="F40" t="s" s="480">
        <f>IF(B40=1,'Window &amp; Door DATA INPUT'!H46&amp;'RESULTS'!$H$5,"")</f>
      </c>
      <c r="G40" t="s" s="480">
        <f>IF(B40=1,VLOOKUP(F40,'Parameters'!$H$4:$I$20,2,FALSE),"")</f>
      </c>
      <c r="H40" t="s" s="480">
        <f>IF(OR('Window &amp; Door DATA INPUT'!J46='Parameters'!$K$4,'Window &amp; Door DATA INPUT'!J46='Parameters'!$K$11),"No",IF('Window &amp; Door DATA INPUT'!K46="","",'Window &amp; Door DATA INPUT'!K46))</f>
      </c>
      <c r="I40" t="s" s="480">
        <f>IF('Window &amp; Door DATA INPUT'!J46="","",'Window &amp; Door DATA INPUT'!J46)</f>
      </c>
      <c r="J40" t="s" s="480">
        <f>IF('Window &amp; Door DATA INPUT'!L46='Parameters'!$O$5,'Window &amp; Door DATA INPUT'!O46,IF(B40=1,'Window &amp; Door DATA INPUT'!N46*'Window &amp; Door DATA INPUT'!M46,""))</f>
      </c>
      <c r="K40" t="s" s="414">
        <f>IF('Window &amp; Door DATA INPUT'!J46="","",VLOOKUP('Window &amp; Door DATA INPUT'!J46,'Parameters'!$K$4:$L$16,2,FALSE))</f>
      </c>
      <c r="L40" t="s" s="480">
        <f>IF($H40="yes",IF($K40="Y",'Window &amp; Door DATA INPUT'!Q46,IF($K40="N",'Window &amp; Door DATA INPUT'!P46)),"")</f>
      </c>
      <c r="M40" t="s" s="480">
        <f>IF($H40="yes",IF($K40="Y",'Window &amp; Door DATA INPUT'!P46,IF($K40="N",'Window &amp; Door DATA INPUT'!Q46)),"")</f>
      </c>
      <c r="N40" t="s" s="480">
        <f>IF(L40="","",L40*M40)</f>
      </c>
      <c r="O40" t="s" s="414">
        <f>IF(AND(B40=1,C40=0,H40="yes"),"A",IF(AND(C40=1,H40="yes",'Window &amp; Door DATA INPUT'!R46="no"),"B",IF(AND(C40=1,H40="yes",'Window &amp; Door DATA INPUT'!R46="yes",'Window &amp; Door DATA INPUT'!S46="yes"),"C",IF(AND(C40=1,H40="yes",'Window &amp; Door DATA INPUT'!R46="yes",'Window &amp; Door DATA INPUT'!S46="no"),"D",""))))</f>
      </c>
      <c r="P40" t="s" s="414">
        <f>IF(AND(C40=1,H40="yes",OR(I40='Parameters'!$K$12,I40='Parameters'!$K$13,I40='Parameters'!$K$14)),"E",IF(AND(C40=1,H40="yes",NOT(OR(I40='Parameters'!$K$12,I40='Parameters'!$K$13,I40='Parameters'!$K$14))),"F",""))</f>
      </c>
      <c r="Q40" t="s" s="414">
        <f>IF(AND(B40=1,H40="yes"),VLOOKUP(I40,'Parameters'!$K$4:$M$16,3,FALSE),"")</f>
      </c>
      <c r="R40" t="s" s="414">
        <f>IF(AND(OR(O40="A",O40="B",O40="d"),Q40="input"),'Window &amp; Door DATA INPUT'!AA46,IF(AND(O40="C",Q40="input"),'Window &amp; Door DATA INPUT'!W46,Q40))</f>
      </c>
      <c r="S40" t="s" s="414">
        <f>IF('Window &amp; Door DATA INPUT'!X46="Yes",'Window &amp; Door DATA INPUT'!Y46/1000,IF(B40=1,"N/A",""))</f>
      </c>
      <c r="T40" t="s" s="480">
        <f>IF(Q40="calc",IF(P40="yes",'Window &amp; Door DATA INPUT'!U46/1000,('Parameters'!$S$4-'Window &amp; Door DATA INPUT'!Z46+'Parameters'!$Q$4)/1000),"")</f>
      </c>
      <c r="U40" t="s" s="480">
        <f>IF(Q40="calc",IF(T40&gt;M40,M40,T40),"")</f>
      </c>
      <c r="V40" t="s" s="480">
        <f>IF(AND(S40&gt;0,S40&lt;U40),S40,U40)</f>
      </c>
      <c r="W40" t="s" s="496">
        <f>IF(R40="calc",DEGREES(ASIN(V40/M40)),R40)</f>
      </c>
      <c r="X40" t="s" s="480">
        <f>IF(OR($H40="no",$B40=0),"",IF($I40='Parameters'!$K$15,$L40/($M40/2),$L40/$M40))</f>
      </c>
      <c r="Y40" t="s" s="480">
        <f>IF(OR($H40="no",$B40=0),"",IF($X40&lt;0.5,'Parameters'!$X$4,IF($X40&lt;1,'Parameters'!$Y$4,IF($X40&lt;2,'Parameters'!$Z$4,'Parameters'!$AA$4))))</f>
      </c>
      <c r="Z40" t="s" s="480">
        <f>IF(OR($H40="no",$B40=0),"",IF($X40&lt;0.5,'Parameters'!$X$5,IF($X40&lt;1,'Parameters'!$Y$5,IF($X40&lt;2,'Parameters'!$Z$5,'Parameters'!$AA$5))))</f>
      </c>
      <c r="AA40" t="s" s="480">
        <f>IF(OR($H40="no",$B40=0),"",IF($I40='Parameters'!$K$15,(2*($M40/2)*SIN(RADIANS($W40/2))),(2*$M40*SIN(RADIANS($W40/2)))))</f>
      </c>
      <c r="AB40" t="s" s="480">
        <f>IF(OR($H40="no",$B40=0),"",$Z40*(1-EXP(-$Y40*$W40)))</f>
      </c>
      <c r="AC40" t="s" s="480">
        <f>IF(OR($H40="no",$B40=0),"",IF($I40='Parameters'!$K$15,$AB40*$N40/2,$AB40*$N40))</f>
      </c>
      <c r="AD40" t="s" s="497">
        <f>IF(OR($H40="no",$B40=0),"",IF($I40='Parameters'!$K$15,$AC40*2/'Parameters'!$AB$4,$AC40/'Parameters'!$AB$4))</f>
      </c>
      <c r="AE40" t="s" s="487">
        <f>IF(AND(O40="B",Q40="calc"),V40,IF(AND(O40="C",Q40="calc"),'Window &amp; Door DATA INPUT'!T46/1000,""))</f>
      </c>
      <c r="AF40" t="s" s="414">
        <f>IF(AND(O40="B",Q40="input"),'Window &amp; Door DATA INPUT'!AA46,IF(AND(O40="C",Q40="input",P40="F"),'Window &amp; Door DATA INPUT'!V46,IF(AND(O40="C",P40="E"),0,IF(AND(O40="D"),0,IF(AND(B40=1,C40=0),"",(Q40))))))</f>
      </c>
      <c r="AG40" t="s" s="496">
        <f>IF(AF40="calc",DEGREES(ASIN(AE40/M40)),AF40)</f>
      </c>
      <c r="AH40" t="s" s="480">
        <f>IF(OR($H40="no",$C40=0),"",IF($I40='Parameters'!$K$15,$L40/($M40/2),$L40/$M40))</f>
      </c>
      <c r="AI40" t="s" s="480">
        <f>IF(OR($H40="no",$C40=0),"",IF($AH40&lt;0.5,'Parameters'!$X$4,IF($AH40&lt;1,'Parameters'!$Y$4,IF($AH40&lt;2,'Parameters'!$Z$4,'Parameters'!$AA$4))))</f>
      </c>
      <c r="AJ40" t="s" s="480">
        <f>IF(OR($H40="no",$C40=0),"",IF($AH40&lt;0.5,'Parameters'!$X$5,IF($AH40&lt;1,'Parameters'!$Y$5,IF($AH40&lt;2,'Parameters'!$Z$5,'Parameters'!$AA$5))))</f>
      </c>
      <c r="AK40" t="s" s="480">
        <f>IF(OR($H40="no",$C40=0),"",IF($I40='Parameters'!$K$15,(2*($M40/2)*SIN(RADIANS($AG40/2))),(2*$M40*SIN(RADIANS($AG40/2)))))</f>
      </c>
      <c r="AL40" t="s" s="480">
        <f>IF(OR($H40="no",$C40=0),"",$AJ40*(1-EXP(-$AI40*$AG40)))</f>
      </c>
      <c r="AM40" t="s" s="480">
        <f>IF(OR($H40="no",$C40=0),"",IF($I40='Parameters'!$K$15,$AL40*$N40/2,$AL40*$N40))</f>
      </c>
      <c r="AN40" t="s" s="497">
        <f>IF(OR($H40="no",$C40=0),"",IF($I40='Parameters'!$K$15,$AM40*2/'Parameters'!$AB$4,$AM40/'Parameters'!$AB$4))</f>
      </c>
      <c r="AO40" s="510"/>
      <c r="AP40" s="441"/>
      <c r="AQ40" s="441"/>
      <c r="AR40" s="441"/>
      <c r="AS40" s="441"/>
      <c r="AT40" s="441"/>
      <c r="AU40" s="441"/>
      <c r="AV40" s="441"/>
      <c r="AW40" s="441"/>
      <c r="AX40" s="441"/>
      <c r="AY40" s="441"/>
      <c r="AZ40" s="441"/>
      <c r="BA40" s="441"/>
      <c r="BB40" s="441"/>
      <c r="BC40" s="441"/>
      <c r="BD40" s="441"/>
      <c r="BE40" s="441"/>
      <c r="BF40" s="441"/>
      <c r="BG40" s="441"/>
      <c r="BH40" s="441"/>
      <c r="BI40" s="441"/>
      <c r="BJ40" s="441"/>
      <c r="BK40" s="441"/>
      <c r="BL40" s="441"/>
    </row>
    <row r="41" ht="16" customHeight="1">
      <c r="A41" s="470"/>
      <c r="B41" s="479">
        <f>IF('Window &amp; Door DATA INPUT'!B47&gt;1,1,0)</f>
        <v>0</v>
      </c>
      <c r="C41" s="479">
        <f>IF(AND(B41=1,OR(D41='Parameters'!$D$17,D41='Parameters'!$D$18,D41='Parameters'!$D$19,D41='Parameters'!$D$20,D41='Parameters'!$D$21)),1,0)</f>
        <v>0</v>
      </c>
      <c r="D41" t="s" s="480">
        <f>IF('Window &amp; Door DATA INPUT'!B47="","",'Window &amp; Door DATA INPUT'!B47)</f>
      </c>
      <c r="E41" t="s" s="480">
        <f>IF('Window &amp; Door DATA INPUT'!D47="","",'Window &amp; Door DATA INPUT'!D47)</f>
      </c>
      <c r="F41" t="s" s="480">
        <f>IF(B41=1,'Window &amp; Door DATA INPUT'!H47&amp;'RESULTS'!$H$5,"")</f>
      </c>
      <c r="G41" t="s" s="480">
        <f>IF(B41=1,VLOOKUP(F41,'Parameters'!$H$4:$I$20,2,FALSE),"")</f>
      </c>
      <c r="H41" t="s" s="480">
        <f>IF(OR('Window &amp; Door DATA INPUT'!J47='Parameters'!$K$4,'Window &amp; Door DATA INPUT'!J47='Parameters'!$K$11),"No",IF('Window &amp; Door DATA INPUT'!K47="","",'Window &amp; Door DATA INPUT'!K47))</f>
      </c>
      <c r="I41" t="s" s="480">
        <f>IF('Window &amp; Door DATA INPUT'!J47="","",'Window &amp; Door DATA INPUT'!J47)</f>
      </c>
      <c r="J41" t="s" s="480">
        <f>IF('Window &amp; Door DATA INPUT'!L47='Parameters'!$O$5,'Window &amp; Door DATA INPUT'!O47,IF(B41=1,'Window &amp; Door DATA INPUT'!N47*'Window &amp; Door DATA INPUT'!M47,""))</f>
      </c>
      <c r="K41" t="s" s="414">
        <f>IF('Window &amp; Door DATA INPUT'!J47="","",VLOOKUP('Window &amp; Door DATA INPUT'!J47,'Parameters'!$K$4:$L$16,2,FALSE))</f>
      </c>
      <c r="L41" t="s" s="480">
        <f>IF($H41="yes",IF($K41="Y",'Window &amp; Door DATA INPUT'!Q47,IF($K41="N",'Window &amp; Door DATA INPUT'!P47)),"")</f>
      </c>
      <c r="M41" t="s" s="480">
        <f>IF($H41="yes",IF($K41="Y",'Window &amp; Door DATA INPUT'!P47,IF($K41="N",'Window &amp; Door DATA INPUT'!Q47)),"")</f>
      </c>
      <c r="N41" t="s" s="480">
        <f>IF(L41="","",L41*M41)</f>
      </c>
      <c r="O41" t="s" s="414">
        <f>IF(AND(B41=1,C41=0,H41="yes"),"A",IF(AND(C41=1,H41="yes",'Window &amp; Door DATA INPUT'!R47="no"),"B",IF(AND(C41=1,H41="yes",'Window &amp; Door DATA INPUT'!R47="yes",'Window &amp; Door DATA INPUT'!S47="yes"),"C",IF(AND(C41=1,H41="yes",'Window &amp; Door DATA INPUT'!R47="yes",'Window &amp; Door DATA INPUT'!S47="no"),"D",""))))</f>
      </c>
      <c r="P41" t="s" s="414">
        <f>IF(AND(C41=1,H41="yes",OR(I41='Parameters'!$K$12,I41='Parameters'!$K$13,I41='Parameters'!$K$14)),"E",IF(AND(C41=1,H41="yes",NOT(OR(I41='Parameters'!$K$12,I41='Parameters'!$K$13,I41='Parameters'!$K$14))),"F",""))</f>
      </c>
      <c r="Q41" t="s" s="414">
        <f>IF(AND(B41=1,H41="yes"),VLOOKUP(I41,'Parameters'!$K$4:$M$16,3,FALSE),"")</f>
      </c>
      <c r="R41" t="s" s="414">
        <f>IF(AND(OR(O41="A",O41="B",O41="d"),Q41="input"),'Window &amp; Door DATA INPUT'!AA47,IF(AND(O41="C",Q41="input"),'Window &amp; Door DATA INPUT'!W47,Q41))</f>
      </c>
      <c r="S41" t="s" s="414">
        <f>IF('Window &amp; Door DATA INPUT'!X47="Yes",'Window &amp; Door DATA INPUT'!Y47/1000,IF(B41=1,"N/A",""))</f>
      </c>
      <c r="T41" t="s" s="480">
        <f>IF(Q41="calc",IF(P41="yes",'Window &amp; Door DATA INPUT'!U47/1000,('Parameters'!$S$4-'Window &amp; Door DATA INPUT'!Z47+'Parameters'!$Q$4)/1000),"")</f>
      </c>
      <c r="U41" t="s" s="480">
        <f>IF(Q41="calc",IF(T41&gt;M41,M41,T41),"")</f>
      </c>
      <c r="V41" t="s" s="480">
        <f>IF(AND(S41&gt;0,S41&lt;U41),S41,U41)</f>
      </c>
      <c r="W41" t="s" s="496">
        <f>IF(R41="calc",DEGREES(ASIN(V41/M41)),R41)</f>
      </c>
      <c r="X41" t="s" s="480">
        <f>IF(OR($H41="no",$B41=0),"",IF($I41='Parameters'!$K$15,$L41/($M41/2),$L41/$M41))</f>
      </c>
      <c r="Y41" t="s" s="480">
        <f>IF(OR($H41="no",$B41=0),"",IF($X41&lt;0.5,'Parameters'!$X$4,IF($X41&lt;1,'Parameters'!$Y$4,IF($X41&lt;2,'Parameters'!$Z$4,'Parameters'!$AA$4))))</f>
      </c>
      <c r="Z41" t="s" s="480">
        <f>IF(OR($H41="no",$B41=0),"",IF($X41&lt;0.5,'Parameters'!$X$5,IF($X41&lt;1,'Parameters'!$Y$5,IF($X41&lt;2,'Parameters'!$Z$5,'Parameters'!$AA$5))))</f>
      </c>
      <c r="AA41" t="s" s="480">
        <f>IF(OR($H41="no",$B41=0),"",IF($I41='Parameters'!$K$15,(2*($M41/2)*SIN(RADIANS($W41/2))),(2*$M41*SIN(RADIANS($W41/2)))))</f>
      </c>
      <c r="AB41" t="s" s="480">
        <f>IF(OR($H41="no",$B41=0),"",$Z41*(1-EXP(-$Y41*$W41)))</f>
      </c>
      <c r="AC41" t="s" s="480">
        <f>IF(OR($H41="no",$B41=0),"",IF($I41='Parameters'!$K$15,$AB41*$N41/2,$AB41*$N41))</f>
      </c>
      <c r="AD41" t="s" s="497">
        <f>IF(OR($H41="no",$B41=0),"",IF($I41='Parameters'!$K$15,$AC41*2/'Parameters'!$AB$4,$AC41/'Parameters'!$AB$4))</f>
      </c>
      <c r="AE41" t="s" s="487">
        <f>IF(AND(O41="B",Q41="calc"),V41,IF(AND(O41="C",Q41="calc"),'Window &amp; Door DATA INPUT'!T47/1000,""))</f>
      </c>
      <c r="AF41" t="s" s="414">
        <f>IF(AND(O41="B",Q41="input"),'Window &amp; Door DATA INPUT'!AA47,IF(AND(O41="C",Q41="input",P41="F"),'Window &amp; Door DATA INPUT'!V47,IF(AND(O41="C",P41="E"),0,IF(AND(O41="D"),0,IF(AND(B41=1,C41=0),"",(Q41))))))</f>
      </c>
      <c r="AG41" t="s" s="496">
        <f>IF(AF41="calc",DEGREES(ASIN(AE41/M41)),AF41)</f>
      </c>
      <c r="AH41" t="s" s="480">
        <f>IF(OR($H41="no",$C41=0),"",IF($I41='Parameters'!$K$15,$L41/($M41/2),$L41/$M41))</f>
      </c>
      <c r="AI41" t="s" s="480">
        <f>IF(OR($H41="no",$C41=0),"",IF($AH41&lt;0.5,'Parameters'!$X$4,IF($AH41&lt;1,'Parameters'!$Y$4,IF($AH41&lt;2,'Parameters'!$Z$4,'Parameters'!$AA$4))))</f>
      </c>
      <c r="AJ41" t="s" s="480">
        <f>IF(OR($H41="no",$C41=0),"",IF($AH41&lt;0.5,'Parameters'!$X$5,IF($AH41&lt;1,'Parameters'!$Y$5,IF($AH41&lt;2,'Parameters'!$Z$5,'Parameters'!$AA$5))))</f>
      </c>
      <c r="AK41" t="s" s="480">
        <f>IF(OR($H41="no",$C41=0),"",IF($I41='Parameters'!$K$15,(2*($M41/2)*SIN(RADIANS($AG41/2))),(2*$M41*SIN(RADIANS($AG41/2)))))</f>
      </c>
      <c r="AL41" t="s" s="480">
        <f>IF(OR($H41="no",$C41=0),"",$AJ41*(1-EXP(-$AI41*$AG41)))</f>
      </c>
      <c r="AM41" t="s" s="480">
        <f>IF(OR($H41="no",$C41=0),"",IF($I41='Parameters'!$K$15,$AL41*$N41/2,$AL41*$N41))</f>
      </c>
      <c r="AN41" t="s" s="497">
        <f>IF(OR($H41="no",$C41=0),"",IF($I41='Parameters'!$K$15,$AM41*2/'Parameters'!$AB$4,$AM41/'Parameters'!$AB$4))</f>
      </c>
      <c r="AO41" s="510"/>
      <c r="AP41" s="441"/>
      <c r="AQ41" s="441"/>
      <c r="AR41" s="441"/>
      <c r="AS41" s="441"/>
      <c r="AT41" s="441"/>
      <c r="AU41" s="441"/>
      <c r="AV41" s="441"/>
      <c r="AW41" s="441"/>
      <c r="AX41" s="441"/>
      <c r="AY41" s="441"/>
      <c r="AZ41" s="441"/>
      <c r="BA41" s="441"/>
      <c r="BB41" s="441"/>
      <c r="BC41" s="441"/>
      <c r="BD41" s="441"/>
      <c r="BE41" s="441"/>
      <c r="BF41" s="441"/>
      <c r="BG41" s="441"/>
      <c r="BH41" s="441"/>
      <c r="BI41" s="441"/>
      <c r="BJ41" s="441"/>
      <c r="BK41" s="441"/>
      <c r="BL41" s="441"/>
    </row>
    <row r="42" ht="16" customHeight="1">
      <c r="A42" s="470"/>
      <c r="B42" s="479">
        <f>IF('Window &amp; Door DATA INPUT'!B48&gt;1,1,0)</f>
        <v>0</v>
      </c>
      <c r="C42" s="479">
        <f>IF(AND(B42=1,OR(D42='Parameters'!$D$17,D42='Parameters'!$D$18,D42='Parameters'!$D$19,D42='Parameters'!$D$20,D42='Parameters'!$D$21)),1,0)</f>
        <v>0</v>
      </c>
      <c r="D42" t="s" s="480">
        <f>IF('Window &amp; Door DATA INPUT'!B48="","",'Window &amp; Door DATA INPUT'!B48)</f>
      </c>
      <c r="E42" t="s" s="480">
        <f>IF('Window &amp; Door DATA INPUT'!D48="","",'Window &amp; Door DATA INPUT'!D48)</f>
      </c>
      <c r="F42" t="s" s="480">
        <f>IF(B42=1,'Window &amp; Door DATA INPUT'!H48&amp;'RESULTS'!$H$5,"")</f>
      </c>
      <c r="G42" t="s" s="480">
        <f>IF(B42=1,VLOOKUP(F42,'Parameters'!$H$4:$I$20,2,FALSE),"")</f>
      </c>
      <c r="H42" t="s" s="480">
        <f>IF(OR('Window &amp; Door DATA INPUT'!J48='Parameters'!$K$4,'Window &amp; Door DATA INPUT'!J48='Parameters'!$K$11),"No",IF('Window &amp; Door DATA INPUT'!K48="","",'Window &amp; Door DATA INPUT'!K48))</f>
      </c>
      <c r="I42" t="s" s="480">
        <f>IF('Window &amp; Door DATA INPUT'!J48="","",'Window &amp; Door DATA INPUT'!J48)</f>
      </c>
      <c r="J42" t="s" s="480">
        <f>IF('Window &amp; Door DATA INPUT'!L48='Parameters'!$O$5,'Window &amp; Door DATA INPUT'!O48,IF(B42=1,'Window &amp; Door DATA INPUT'!N48*'Window &amp; Door DATA INPUT'!M48,""))</f>
      </c>
      <c r="K42" t="s" s="414">
        <f>IF('Window &amp; Door DATA INPUT'!J48="","",VLOOKUP('Window &amp; Door DATA INPUT'!J48,'Parameters'!$K$4:$L$16,2,FALSE))</f>
      </c>
      <c r="L42" t="s" s="480">
        <f>IF($H42="yes",IF($K42="Y",'Window &amp; Door DATA INPUT'!Q48,IF($K42="N",'Window &amp; Door DATA INPUT'!P48)),"")</f>
      </c>
      <c r="M42" t="s" s="480">
        <f>IF($H42="yes",IF($K42="Y",'Window &amp; Door DATA INPUT'!P48,IF($K42="N",'Window &amp; Door DATA INPUT'!Q48)),"")</f>
      </c>
      <c r="N42" t="s" s="480">
        <f>IF(L42="","",L42*M42)</f>
      </c>
      <c r="O42" t="s" s="414">
        <f>IF(AND(B42=1,C42=0,H42="yes"),"A",IF(AND(C42=1,H42="yes",'Window &amp; Door DATA INPUT'!R48="no"),"B",IF(AND(C42=1,H42="yes",'Window &amp; Door DATA INPUT'!R48="yes",'Window &amp; Door DATA INPUT'!S48="yes"),"C",IF(AND(C42=1,H42="yes",'Window &amp; Door DATA INPUT'!R48="yes",'Window &amp; Door DATA INPUT'!S48="no"),"D",""))))</f>
      </c>
      <c r="P42" t="s" s="414">
        <f>IF(AND(C42=1,H42="yes",OR(I42='Parameters'!$K$12,I42='Parameters'!$K$13,I42='Parameters'!$K$14)),"E",IF(AND(C42=1,H42="yes",NOT(OR(I42='Parameters'!$K$12,I42='Parameters'!$K$13,I42='Parameters'!$K$14))),"F",""))</f>
      </c>
      <c r="Q42" t="s" s="414">
        <f>IF(AND(B42=1,H42="yes"),VLOOKUP(I42,'Parameters'!$K$4:$M$16,3,FALSE),"")</f>
      </c>
      <c r="R42" t="s" s="414">
        <f>IF(AND(OR(O42="A",O42="B",O42="d"),Q42="input"),'Window &amp; Door DATA INPUT'!AA48,IF(AND(O42="C",Q42="input"),'Window &amp; Door DATA INPUT'!W48,Q42))</f>
      </c>
      <c r="S42" t="s" s="414">
        <f>IF('Window &amp; Door DATA INPUT'!X48="Yes",'Window &amp; Door DATA INPUT'!Y48/1000,IF(B42=1,"N/A",""))</f>
      </c>
      <c r="T42" t="s" s="480">
        <f>IF(Q42="calc",IF(P42="yes",'Window &amp; Door DATA INPUT'!U48/1000,('Parameters'!$S$4-'Window &amp; Door DATA INPUT'!Z48+'Parameters'!$Q$4)/1000),"")</f>
      </c>
      <c r="U42" t="s" s="480">
        <f>IF(Q42="calc",IF(T42&gt;M42,M42,T42),"")</f>
      </c>
      <c r="V42" t="s" s="480">
        <f>IF(AND(S42&gt;0,S42&lt;U42),S42,U42)</f>
      </c>
      <c r="W42" t="s" s="496">
        <f>IF(R42="calc",DEGREES(ASIN(V42/M42)),R42)</f>
      </c>
      <c r="X42" t="s" s="480">
        <f>IF(OR($H42="no",$B42=0),"",IF($I42='Parameters'!$K$15,$L42/($M42/2),$L42/$M42))</f>
      </c>
      <c r="Y42" t="s" s="480">
        <f>IF(OR($H42="no",$B42=0),"",IF($X42&lt;0.5,'Parameters'!$X$4,IF($X42&lt;1,'Parameters'!$Y$4,IF($X42&lt;2,'Parameters'!$Z$4,'Parameters'!$AA$4))))</f>
      </c>
      <c r="Z42" t="s" s="480">
        <f>IF(OR($H42="no",$B42=0),"",IF($X42&lt;0.5,'Parameters'!$X$5,IF($X42&lt;1,'Parameters'!$Y$5,IF($X42&lt;2,'Parameters'!$Z$5,'Parameters'!$AA$5))))</f>
      </c>
      <c r="AA42" t="s" s="480">
        <f>IF(OR($H42="no",$B42=0),"",IF($I42='Parameters'!$K$15,(2*($M42/2)*SIN(RADIANS($W42/2))),(2*$M42*SIN(RADIANS($W42/2)))))</f>
      </c>
      <c r="AB42" t="s" s="480">
        <f>IF(OR($H42="no",$B42=0),"",$Z42*(1-EXP(-$Y42*$W42)))</f>
      </c>
      <c r="AC42" t="s" s="480">
        <f>IF(OR($H42="no",$B42=0),"",IF($I42='Parameters'!$K$15,$AB42*$N42/2,$AB42*$N42))</f>
      </c>
      <c r="AD42" t="s" s="497">
        <f>IF(OR($H42="no",$B42=0),"",IF($I42='Parameters'!$K$15,$AC42*2/'Parameters'!$AB$4,$AC42/'Parameters'!$AB$4))</f>
      </c>
      <c r="AE42" t="s" s="487">
        <f>IF(AND(O42="B",Q42="calc"),V42,IF(AND(O42="C",Q42="calc"),'Window &amp; Door DATA INPUT'!T48/1000,""))</f>
      </c>
      <c r="AF42" t="s" s="414">
        <f>IF(AND(O42="B",Q42="input"),'Window &amp; Door DATA INPUT'!AA48,IF(AND(O42="C",Q42="input",P42="F"),'Window &amp; Door DATA INPUT'!V48,IF(AND(O42="C",P42="E"),0,IF(AND(O42="D"),0,IF(AND(B42=1,C42=0),"",(Q42))))))</f>
      </c>
      <c r="AG42" t="s" s="496">
        <f>IF(AF42="calc",DEGREES(ASIN(AE42/M42)),AF42)</f>
      </c>
      <c r="AH42" t="s" s="480">
        <f>IF(OR($H42="no",$C42=0),"",IF($I42='Parameters'!$K$15,$L42/($M42/2),$L42/$M42))</f>
      </c>
      <c r="AI42" t="s" s="480">
        <f>IF(OR($H42="no",$C42=0),"",IF($AH42&lt;0.5,'Parameters'!$X$4,IF($AH42&lt;1,'Parameters'!$Y$4,IF($AH42&lt;2,'Parameters'!$Z$4,'Parameters'!$AA$4))))</f>
      </c>
      <c r="AJ42" t="s" s="480">
        <f>IF(OR($H42="no",$C42=0),"",IF($AH42&lt;0.5,'Parameters'!$X$5,IF($AH42&lt;1,'Parameters'!$Y$5,IF($AH42&lt;2,'Parameters'!$Z$5,'Parameters'!$AA$5))))</f>
      </c>
      <c r="AK42" t="s" s="480">
        <f>IF(OR($H42="no",$C42=0),"",IF($I42='Parameters'!$K$15,(2*($M42/2)*SIN(RADIANS($AG42/2))),(2*$M42*SIN(RADIANS($AG42/2)))))</f>
      </c>
      <c r="AL42" t="s" s="480">
        <f>IF(OR($H42="no",$C42=0),"",$AJ42*(1-EXP(-$AI42*$AG42)))</f>
      </c>
      <c r="AM42" t="s" s="480">
        <f>IF(OR($H42="no",$C42=0),"",IF($I42='Parameters'!$K$15,$AL42*$N42/2,$AL42*$N42))</f>
      </c>
      <c r="AN42" t="s" s="497">
        <f>IF(OR($H42="no",$C42=0),"",IF($I42='Parameters'!$K$15,$AM42*2/'Parameters'!$AB$4,$AM42/'Parameters'!$AB$4))</f>
      </c>
      <c r="AO42" s="510"/>
      <c r="AP42" s="441"/>
      <c r="AQ42" s="441"/>
      <c r="AR42" s="441"/>
      <c r="AS42" s="441"/>
      <c r="AT42" s="441"/>
      <c r="AU42" s="441"/>
      <c r="AV42" s="441"/>
      <c r="AW42" s="441"/>
      <c r="AX42" s="441"/>
      <c r="AY42" s="441"/>
      <c r="AZ42" s="441"/>
      <c r="BA42" s="441"/>
      <c r="BB42" s="441"/>
      <c r="BC42" s="441"/>
      <c r="BD42" s="441"/>
      <c r="BE42" s="441"/>
      <c r="BF42" s="441"/>
      <c r="BG42" s="441"/>
      <c r="BH42" s="441"/>
      <c r="BI42" s="441"/>
      <c r="BJ42" s="441"/>
      <c r="BK42" s="441"/>
      <c r="BL42" s="441"/>
    </row>
    <row r="43" ht="16" customHeight="1">
      <c r="A43" s="470"/>
      <c r="B43" s="479">
        <f>IF('Window &amp; Door DATA INPUT'!B49&gt;1,1,0)</f>
        <v>0</v>
      </c>
      <c r="C43" s="479">
        <f>IF(AND(B43=1,OR(D43='Parameters'!$D$17,D43='Parameters'!$D$18,D43='Parameters'!$D$19,D43='Parameters'!$D$20,D43='Parameters'!$D$21)),1,0)</f>
        <v>0</v>
      </c>
      <c r="D43" t="s" s="480">
        <f>IF('Window &amp; Door DATA INPUT'!B49="","",'Window &amp; Door DATA INPUT'!B49)</f>
      </c>
      <c r="E43" t="s" s="480">
        <f>IF('Window &amp; Door DATA INPUT'!D49="","",'Window &amp; Door DATA INPUT'!D49)</f>
      </c>
      <c r="F43" t="s" s="480">
        <f>IF(B43=1,'Window &amp; Door DATA INPUT'!H49&amp;'RESULTS'!$H$5,"")</f>
      </c>
      <c r="G43" t="s" s="480">
        <f>IF(B43=1,VLOOKUP(F43,'Parameters'!$H$4:$I$20,2,FALSE),"")</f>
      </c>
      <c r="H43" t="s" s="480">
        <f>IF(OR('Window &amp; Door DATA INPUT'!J49='Parameters'!$K$4,'Window &amp; Door DATA INPUT'!J49='Parameters'!$K$11),"No",IF('Window &amp; Door DATA INPUT'!K49="","",'Window &amp; Door DATA INPUT'!K49))</f>
      </c>
      <c r="I43" t="s" s="480">
        <f>IF('Window &amp; Door DATA INPUT'!J49="","",'Window &amp; Door DATA INPUT'!J49)</f>
      </c>
      <c r="J43" t="s" s="480">
        <f>IF('Window &amp; Door DATA INPUT'!L49='Parameters'!$O$5,'Window &amp; Door DATA INPUT'!O49,IF(B43=1,'Window &amp; Door DATA INPUT'!N49*'Window &amp; Door DATA INPUT'!M49,""))</f>
      </c>
      <c r="K43" t="s" s="414">
        <f>IF('Window &amp; Door DATA INPUT'!J49="","",VLOOKUP('Window &amp; Door DATA INPUT'!J49,'Parameters'!$K$4:$L$16,2,FALSE))</f>
      </c>
      <c r="L43" t="s" s="480">
        <f>IF($H43="yes",IF($K43="Y",'Window &amp; Door DATA INPUT'!Q49,IF($K43="N",'Window &amp; Door DATA INPUT'!P49)),"")</f>
      </c>
      <c r="M43" t="s" s="480">
        <f>IF($H43="yes",IF($K43="Y",'Window &amp; Door DATA INPUT'!P49,IF($K43="N",'Window &amp; Door DATA INPUT'!Q49)),"")</f>
      </c>
      <c r="N43" t="s" s="480">
        <f>IF(L43="","",L43*M43)</f>
      </c>
      <c r="O43" t="s" s="414">
        <f>IF(AND(B43=1,C43=0,H43="yes"),"A",IF(AND(C43=1,H43="yes",'Window &amp; Door DATA INPUT'!R49="no"),"B",IF(AND(C43=1,H43="yes",'Window &amp; Door DATA INPUT'!R49="yes",'Window &amp; Door DATA INPUT'!S49="yes"),"C",IF(AND(C43=1,H43="yes",'Window &amp; Door DATA INPUT'!R49="yes",'Window &amp; Door DATA INPUT'!S49="no"),"D",""))))</f>
      </c>
      <c r="P43" t="s" s="414">
        <f>IF(AND(C43=1,H43="yes",OR(I43='Parameters'!$K$12,I43='Parameters'!$K$13,I43='Parameters'!$K$14)),"E",IF(AND(C43=1,H43="yes",NOT(OR(I43='Parameters'!$K$12,I43='Parameters'!$K$13,I43='Parameters'!$K$14))),"F",""))</f>
      </c>
      <c r="Q43" t="s" s="414">
        <f>IF(AND(B43=1,H43="yes"),VLOOKUP(I43,'Parameters'!$K$4:$M$16,3,FALSE),"")</f>
      </c>
      <c r="R43" t="s" s="414">
        <f>IF(AND(OR(O43="A",O43="B",O43="d"),Q43="input"),'Window &amp; Door DATA INPUT'!AA49,IF(AND(O43="C",Q43="input"),'Window &amp; Door DATA INPUT'!W49,Q43))</f>
      </c>
      <c r="S43" t="s" s="414">
        <f>IF('Window &amp; Door DATA INPUT'!X49="Yes",'Window &amp; Door DATA INPUT'!Y49/1000,IF(B43=1,"N/A",""))</f>
      </c>
      <c r="T43" t="s" s="480">
        <f>IF(Q43="calc",IF(P43="yes",'Window &amp; Door DATA INPUT'!U49/1000,('Parameters'!$S$4-'Window &amp; Door DATA INPUT'!Z49+'Parameters'!$Q$4)/1000),"")</f>
      </c>
      <c r="U43" t="s" s="480">
        <f>IF(Q43="calc",IF(T43&gt;M43,M43,T43),"")</f>
      </c>
      <c r="V43" t="s" s="480">
        <f>IF(AND(S43&gt;0,S43&lt;U43),S43,U43)</f>
      </c>
      <c r="W43" t="s" s="496">
        <f>IF(R43="calc",DEGREES(ASIN(V43/M43)),R43)</f>
      </c>
      <c r="X43" t="s" s="480">
        <f>IF(OR($H43="no",$B43=0),"",IF($I43='Parameters'!$K$15,$L43/($M43/2),$L43/$M43))</f>
      </c>
      <c r="Y43" t="s" s="480">
        <f>IF(OR($H43="no",$B43=0),"",IF($X43&lt;0.5,'Parameters'!$X$4,IF($X43&lt;1,'Parameters'!$Y$4,IF($X43&lt;2,'Parameters'!$Z$4,'Parameters'!$AA$4))))</f>
      </c>
      <c r="Z43" t="s" s="480">
        <f>IF(OR($H43="no",$B43=0),"",IF($X43&lt;0.5,'Parameters'!$X$5,IF($X43&lt;1,'Parameters'!$Y$5,IF($X43&lt;2,'Parameters'!$Z$5,'Parameters'!$AA$5))))</f>
      </c>
      <c r="AA43" t="s" s="480">
        <f>IF(OR($H43="no",$B43=0),"",IF($I43='Parameters'!$K$15,(2*($M43/2)*SIN(RADIANS($W43/2))),(2*$M43*SIN(RADIANS($W43/2)))))</f>
      </c>
      <c r="AB43" t="s" s="480">
        <f>IF(OR($H43="no",$B43=0),"",$Z43*(1-EXP(-$Y43*$W43)))</f>
      </c>
      <c r="AC43" t="s" s="480">
        <f>IF(OR($H43="no",$B43=0),"",IF($I43='Parameters'!$K$15,$AB43*$N43/2,$AB43*$N43))</f>
      </c>
      <c r="AD43" t="s" s="497">
        <f>IF(OR($H43="no",$B43=0),"",IF($I43='Parameters'!$K$15,$AC43*2/'Parameters'!$AB$4,$AC43/'Parameters'!$AB$4))</f>
      </c>
      <c r="AE43" t="s" s="487">
        <f>IF(AND(O43="B",Q43="calc"),V43,IF(AND(O43="C",Q43="calc"),'Window &amp; Door DATA INPUT'!T49/1000,""))</f>
      </c>
      <c r="AF43" t="s" s="414">
        <f>IF(AND(O43="B",Q43="input"),'Window &amp; Door DATA INPUT'!AA49,IF(AND(O43="C",Q43="input",P43="F"),'Window &amp; Door DATA INPUT'!V49,IF(AND(O43="C",P43="E"),0,IF(AND(O43="D"),0,IF(AND(B43=1,C43=0),"",(Q43))))))</f>
      </c>
      <c r="AG43" t="s" s="496">
        <f>IF(AF43="calc",DEGREES(ASIN(AE43/M43)),AF43)</f>
      </c>
      <c r="AH43" t="s" s="480">
        <f>IF(OR($H43="no",$C43=0),"",IF($I43='Parameters'!$K$15,$L43/($M43/2),$L43/$M43))</f>
      </c>
      <c r="AI43" t="s" s="480">
        <f>IF(OR($H43="no",$C43=0),"",IF($AH43&lt;0.5,'Parameters'!$X$4,IF($AH43&lt;1,'Parameters'!$Y$4,IF($AH43&lt;2,'Parameters'!$Z$4,'Parameters'!$AA$4))))</f>
      </c>
      <c r="AJ43" t="s" s="480">
        <f>IF(OR($H43="no",$C43=0),"",IF($AH43&lt;0.5,'Parameters'!$X$5,IF($AH43&lt;1,'Parameters'!$Y$5,IF($AH43&lt;2,'Parameters'!$Z$5,'Parameters'!$AA$5))))</f>
      </c>
      <c r="AK43" t="s" s="480">
        <f>IF(OR($H43="no",$C43=0),"",IF($I43='Parameters'!$K$15,(2*($M43/2)*SIN(RADIANS($AG43/2))),(2*$M43*SIN(RADIANS($AG43/2)))))</f>
      </c>
      <c r="AL43" t="s" s="480">
        <f>IF(OR($H43="no",$C43=0),"",$AJ43*(1-EXP(-$AI43*$AG43)))</f>
      </c>
      <c r="AM43" t="s" s="480">
        <f>IF(OR($H43="no",$C43=0),"",IF($I43='Parameters'!$K$15,$AL43*$N43/2,$AL43*$N43))</f>
      </c>
      <c r="AN43" t="s" s="497">
        <f>IF(OR($H43="no",$C43=0),"",IF($I43='Parameters'!$K$15,$AM43*2/'Parameters'!$AB$4,$AM43/'Parameters'!$AB$4))</f>
      </c>
      <c r="AO43" s="510"/>
      <c r="AP43" s="441"/>
      <c r="AQ43" s="441"/>
      <c r="AR43" s="441"/>
      <c r="AS43" s="441"/>
      <c r="AT43" s="441"/>
      <c r="AU43" s="441"/>
      <c r="AV43" s="441"/>
      <c r="AW43" s="441"/>
      <c r="AX43" s="441"/>
      <c r="AY43" s="441"/>
      <c r="AZ43" s="441"/>
      <c r="BA43" s="441"/>
      <c r="BB43" s="441"/>
      <c r="BC43" s="441"/>
      <c r="BD43" s="441"/>
      <c r="BE43" s="441"/>
      <c r="BF43" s="441"/>
      <c r="BG43" s="441"/>
      <c r="BH43" s="441"/>
      <c r="BI43" s="441"/>
      <c r="BJ43" s="441"/>
      <c r="BK43" s="441"/>
      <c r="BL43" s="441"/>
    </row>
    <row r="44" ht="16" customHeight="1">
      <c r="A44" s="470"/>
      <c r="B44" s="479">
        <f>IF('Window &amp; Door DATA INPUT'!B50&gt;1,1,0)</f>
        <v>0</v>
      </c>
      <c r="C44" s="479">
        <f>IF(AND(B44=1,OR(D44='Parameters'!$D$17,D44='Parameters'!$D$18,D44='Parameters'!$D$19,D44='Parameters'!$D$20,D44='Parameters'!$D$21)),1,0)</f>
        <v>0</v>
      </c>
      <c r="D44" t="s" s="480">
        <f>IF('Window &amp; Door DATA INPUT'!B50="","",'Window &amp; Door DATA INPUT'!B50)</f>
      </c>
      <c r="E44" t="s" s="480">
        <f>IF('Window &amp; Door DATA INPUT'!D50="","",'Window &amp; Door DATA INPUT'!D50)</f>
      </c>
      <c r="F44" t="s" s="480">
        <f>IF(B44=1,'Window &amp; Door DATA INPUT'!H50&amp;'RESULTS'!$H$5,"")</f>
      </c>
      <c r="G44" t="s" s="480">
        <f>IF(B44=1,VLOOKUP(F44,'Parameters'!$H$4:$I$20,2,FALSE),"")</f>
      </c>
      <c r="H44" t="s" s="480">
        <f>IF(OR('Window &amp; Door DATA INPUT'!J50='Parameters'!$K$4,'Window &amp; Door DATA INPUT'!J50='Parameters'!$K$11),"No",IF('Window &amp; Door DATA INPUT'!K50="","",'Window &amp; Door DATA INPUT'!K50))</f>
      </c>
      <c r="I44" t="s" s="480">
        <f>IF('Window &amp; Door DATA INPUT'!J50="","",'Window &amp; Door DATA INPUT'!J50)</f>
      </c>
      <c r="J44" t="s" s="480">
        <f>IF('Window &amp; Door DATA INPUT'!L50='Parameters'!$O$5,'Window &amp; Door DATA INPUT'!O50,IF(B44=1,'Window &amp; Door DATA INPUT'!N50*'Window &amp; Door DATA INPUT'!M50,""))</f>
      </c>
      <c r="K44" t="s" s="414">
        <f>IF('Window &amp; Door DATA INPUT'!J50="","",VLOOKUP('Window &amp; Door DATA INPUT'!J50,'Parameters'!$K$4:$L$16,2,FALSE))</f>
      </c>
      <c r="L44" t="s" s="480">
        <f>IF($H44="yes",IF($K44="Y",'Window &amp; Door DATA INPUT'!Q50,IF($K44="N",'Window &amp; Door DATA INPUT'!P50)),"")</f>
      </c>
      <c r="M44" t="s" s="480">
        <f>IF($H44="yes",IF($K44="Y",'Window &amp; Door DATA INPUT'!P50,IF($K44="N",'Window &amp; Door DATA INPUT'!Q50)),"")</f>
      </c>
      <c r="N44" t="s" s="480">
        <f>IF(L44="","",L44*M44)</f>
      </c>
      <c r="O44" t="s" s="414">
        <f>IF(AND(B44=1,C44=0,H44="yes"),"A",IF(AND(C44=1,H44="yes",'Window &amp; Door DATA INPUT'!R50="no"),"B",IF(AND(C44=1,H44="yes",'Window &amp; Door DATA INPUT'!R50="yes",'Window &amp; Door DATA INPUT'!S50="yes"),"C",IF(AND(C44=1,H44="yes",'Window &amp; Door DATA INPUT'!R50="yes",'Window &amp; Door DATA INPUT'!S50="no"),"D",""))))</f>
      </c>
      <c r="P44" t="s" s="414">
        <f>IF(AND(C44=1,H44="yes",OR(I44='Parameters'!$K$12,I44='Parameters'!$K$13,I44='Parameters'!$K$14)),"E",IF(AND(C44=1,H44="yes",NOT(OR(I44='Parameters'!$K$12,I44='Parameters'!$K$13,I44='Parameters'!$K$14))),"F",""))</f>
      </c>
      <c r="Q44" t="s" s="414">
        <f>IF(AND(B44=1,H44="yes"),VLOOKUP(I44,'Parameters'!$K$4:$M$16,3,FALSE),"")</f>
      </c>
      <c r="R44" t="s" s="414">
        <f>IF(AND(OR(O44="A",O44="B",O44="d"),Q44="input"),'Window &amp; Door DATA INPUT'!AA50,IF(AND(O44="C",Q44="input"),'Window &amp; Door DATA INPUT'!W50,Q44))</f>
      </c>
      <c r="S44" t="s" s="414">
        <f>IF('Window &amp; Door DATA INPUT'!X50="Yes",'Window &amp; Door DATA INPUT'!Y50/1000,IF(B44=1,"N/A",""))</f>
      </c>
      <c r="T44" t="s" s="480">
        <f>IF(Q44="calc",IF(P44="yes",'Window &amp; Door DATA INPUT'!U50/1000,('Parameters'!$S$4-'Window &amp; Door DATA INPUT'!Z50+'Parameters'!$Q$4)/1000),"")</f>
      </c>
      <c r="U44" t="s" s="480">
        <f>IF(Q44="calc",IF(T44&gt;M44,M44,T44),"")</f>
      </c>
      <c r="V44" t="s" s="480">
        <f>IF(AND(S44&gt;0,S44&lt;U44),S44,U44)</f>
      </c>
      <c r="W44" t="s" s="496">
        <f>IF(R44="calc",DEGREES(ASIN(V44/M44)),R44)</f>
      </c>
      <c r="X44" t="s" s="480">
        <f>IF(OR($H44="no",$B44=0),"",IF($I44='Parameters'!$K$15,$L44/($M44/2),$L44/$M44))</f>
      </c>
      <c r="Y44" t="s" s="480">
        <f>IF(OR($H44="no",$B44=0),"",IF($X44&lt;0.5,'Parameters'!$X$4,IF($X44&lt;1,'Parameters'!$Y$4,IF($X44&lt;2,'Parameters'!$Z$4,'Parameters'!$AA$4))))</f>
      </c>
      <c r="Z44" t="s" s="480">
        <f>IF(OR($H44="no",$B44=0),"",IF($X44&lt;0.5,'Parameters'!$X$5,IF($X44&lt;1,'Parameters'!$Y$5,IF($X44&lt;2,'Parameters'!$Z$5,'Parameters'!$AA$5))))</f>
      </c>
      <c r="AA44" t="s" s="480">
        <f>IF(OR($H44="no",$B44=0),"",IF($I44='Parameters'!$K$15,(2*($M44/2)*SIN(RADIANS($W44/2))),(2*$M44*SIN(RADIANS($W44/2)))))</f>
      </c>
      <c r="AB44" t="s" s="480">
        <f>IF(OR($H44="no",$B44=0),"",$Z44*(1-EXP(-$Y44*$W44)))</f>
      </c>
      <c r="AC44" t="s" s="480">
        <f>IF(OR($H44="no",$B44=0),"",IF($I44='Parameters'!$K$15,$AB44*$N44/2,$AB44*$N44))</f>
      </c>
      <c r="AD44" t="s" s="497">
        <f>IF(OR($H44="no",$B44=0),"",IF($I44='Parameters'!$K$15,$AC44*2/'Parameters'!$AB$4,$AC44/'Parameters'!$AB$4))</f>
      </c>
      <c r="AE44" t="s" s="487">
        <f>IF(AND(O44="B",Q44="calc"),V44,IF(AND(O44="C",Q44="calc"),'Window &amp; Door DATA INPUT'!T50/1000,""))</f>
      </c>
      <c r="AF44" t="s" s="414">
        <f>IF(AND(O44="B",Q44="input"),'Window &amp; Door DATA INPUT'!AA50,IF(AND(O44="C",Q44="input",P44="F"),'Window &amp; Door DATA INPUT'!V50,IF(AND(O44="C",P44="E"),0,IF(AND(O44="D"),0,IF(AND(B44=1,C44=0),"",(Q44))))))</f>
      </c>
      <c r="AG44" t="s" s="496">
        <f>IF(AF44="calc",DEGREES(ASIN(AE44/M44)),AF44)</f>
      </c>
      <c r="AH44" t="s" s="480">
        <f>IF(OR($H44="no",$C44=0),"",IF($I44='Parameters'!$K$15,$L44/($M44/2),$L44/$M44))</f>
      </c>
      <c r="AI44" t="s" s="480">
        <f>IF(OR($H44="no",$C44=0),"",IF($AH44&lt;0.5,'Parameters'!$X$4,IF($AH44&lt;1,'Parameters'!$Y$4,IF($AH44&lt;2,'Parameters'!$Z$4,'Parameters'!$AA$4))))</f>
      </c>
      <c r="AJ44" t="s" s="480">
        <f>IF(OR($H44="no",$C44=0),"",IF($AH44&lt;0.5,'Parameters'!$X$5,IF($AH44&lt;1,'Parameters'!$Y$5,IF($AH44&lt;2,'Parameters'!$Z$5,'Parameters'!$AA$5))))</f>
      </c>
      <c r="AK44" t="s" s="480">
        <f>IF(OR($H44="no",$C44=0),"",IF($I44='Parameters'!$K$15,(2*($M44/2)*SIN(RADIANS($AG44/2))),(2*$M44*SIN(RADIANS($AG44/2)))))</f>
      </c>
      <c r="AL44" t="s" s="480">
        <f>IF(OR($H44="no",$C44=0),"",$AJ44*(1-EXP(-$AI44*$AG44)))</f>
      </c>
      <c r="AM44" t="s" s="480">
        <f>IF(OR($H44="no",$C44=0),"",IF($I44='Parameters'!$K$15,$AL44*$N44/2,$AL44*$N44))</f>
      </c>
      <c r="AN44" t="s" s="497">
        <f>IF(OR($H44="no",$C44=0),"",IF($I44='Parameters'!$K$15,$AM44*2/'Parameters'!$AB$4,$AM44/'Parameters'!$AB$4))</f>
      </c>
      <c r="AO44" s="510"/>
      <c r="AP44" s="441"/>
      <c r="AQ44" s="441"/>
      <c r="AR44" s="441"/>
      <c r="AS44" s="441"/>
      <c r="AT44" s="441"/>
      <c r="AU44" s="441"/>
      <c r="AV44" s="441"/>
      <c r="AW44" s="441"/>
      <c r="AX44" s="441"/>
      <c r="AY44" s="441"/>
      <c r="AZ44" s="441"/>
      <c r="BA44" s="441"/>
      <c r="BB44" s="441"/>
      <c r="BC44" s="441"/>
      <c r="BD44" s="441"/>
      <c r="BE44" s="441"/>
      <c r="BF44" s="441"/>
      <c r="BG44" s="441"/>
      <c r="BH44" s="441"/>
      <c r="BI44" s="441"/>
      <c r="BJ44" s="441"/>
      <c r="BK44" s="441"/>
      <c r="BL44" s="441"/>
    </row>
    <row r="45" ht="16" customHeight="1">
      <c r="A45" s="470"/>
      <c r="B45" s="479">
        <f>IF('Window &amp; Door DATA INPUT'!B51&gt;1,1,0)</f>
        <v>0</v>
      </c>
      <c r="C45" s="479">
        <f>IF(AND(B45=1,OR(D45='Parameters'!$D$17,D45='Parameters'!$D$18,D45='Parameters'!$D$19,D45='Parameters'!$D$20,D45='Parameters'!$D$21)),1,0)</f>
        <v>0</v>
      </c>
      <c r="D45" t="s" s="480">
        <f>IF('Window &amp; Door DATA INPUT'!B51="","",'Window &amp; Door DATA INPUT'!B51)</f>
      </c>
      <c r="E45" t="s" s="480">
        <f>IF('Window &amp; Door DATA INPUT'!D51="","",'Window &amp; Door DATA INPUT'!D51)</f>
      </c>
      <c r="F45" t="s" s="480">
        <f>IF(B45=1,'Window &amp; Door DATA INPUT'!H51&amp;'RESULTS'!$H$5,"")</f>
      </c>
      <c r="G45" t="s" s="480">
        <f>IF(B45=1,VLOOKUP(F45,'Parameters'!$H$4:$I$20,2,FALSE),"")</f>
      </c>
      <c r="H45" t="s" s="480">
        <f>IF(OR('Window &amp; Door DATA INPUT'!J51='Parameters'!$K$4,'Window &amp; Door DATA INPUT'!J51='Parameters'!$K$11),"No",IF('Window &amp; Door DATA INPUT'!K51="","",'Window &amp; Door DATA INPUT'!K51))</f>
      </c>
      <c r="I45" t="s" s="480">
        <f>IF('Window &amp; Door DATA INPUT'!J51="","",'Window &amp; Door DATA INPUT'!J51)</f>
      </c>
      <c r="J45" t="s" s="480">
        <f>IF('Window &amp; Door DATA INPUT'!L51='Parameters'!$O$5,'Window &amp; Door DATA INPUT'!O51,IF(B45=1,'Window &amp; Door DATA INPUT'!N51*'Window &amp; Door DATA INPUT'!M51,""))</f>
      </c>
      <c r="K45" t="s" s="414">
        <f>IF('Window &amp; Door DATA INPUT'!J51="","",VLOOKUP('Window &amp; Door DATA INPUT'!J51,'Parameters'!$K$4:$L$16,2,FALSE))</f>
      </c>
      <c r="L45" t="s" s="480">
        <f>IF($H45="yes",IF($K45="Y",'Window &amp; Door DATA INPUT'!Q51,IF($K45="N",'Window &amp; Door DATA INPUT'!P51)),"")</f>
      </c>
      <c r="M45" t="s" s="480">
        <f>IF($H45="yes",IF($K45="Y",'Window &amp; Door DATA INPUT'!P51,IF($K45="N",'Window &amp; Door DATA INPUT'!Q51)),"")</f>
      </c>
      <c r="N45" t="s" s="480">
        <f>IF(L45="","",L45*M45)</f>
      </c>
      <c r="O45" t="s" s="414">
        <f>IF(AND(B45=1,C45=0,H45="yes"),"A",IF(AND(C45=1,H45="yes",'Window &amp; Door DATA INPUT'!R51="no"),"B",IF(AND(C45=1,H45="yes",'Window &amp; Door DATA INPUT'!R51="yes",'Window &amp; Door DATA INPUT'!S51="yes"),"C",IF(AND(C45=1,H45="yes",'Window &amp; Door DATA INPUT'!R51="yes",'Window &amp; Door DATA INPUT'!S51="no"),"D",""))))</f>
      </c>
      <c r="P45" t="s" s="414">
        <f>IF(AND(C45=1,H45="yes",OR(I45='Parameters'!$K$12,I45='Parameters'!$K$13,I45='Parameters'!$K$14)),"E",IF(AND(C45=1,H45="yes",NOT(OR(I45='Parameters'!$K$12,I45='Parameters'!$K$13,I45='Parameters'!$K$14))),"F",""))</f>
      </c>
      <c r="Q45" t="s" s="414">
        <f>IF(AND(B45=1,H45="yes"),VLOOKUP(I45,'Parameters'!$K$4:$M$16,3,FALSE),"")</f>
      </c>
      <c r="R45" t="s" s="414">
        <f>IF(AND(OR(O45="A",O45="B",O45="d"),Q45="input"),'Window &amp; Door DATA INPUT'!AA51,IF(AND(O45="C",Q45="input"),'Window &amp; Door DATA INPUT'!W51,Q45))</f>
      </c>
      <c r="S45" t="s" s="414">
        <f>IF('Window &amp; Door DATA INPUT'!X51="Yes",'Window &amp; Door DATA INPUT'!Y51/1000,IF(B45=1,"N/A",""))</f>
      </c>
      <c r="T45" t="s" s="480">
        <f>IF(Q45="calc",IF(P45="yes",'Window &amp; Door DATA INPUT'!U51/1000,('Parameters'!$S$4-'Window &amp; Door DATA INPUT'!Z51+'Parameters'!$Q$4)/1000),"")</f>
      </c>
      <c r="U45" t="s" s="480">
        <f>IF(Q45="calc",IF(T45&gt;M45,M45,T45),"")</f>
      </c>
      <c r="V45" t="s" s="480">
        <f>IF(AND(S45&gt;0,S45&lt;U45),S45,U45)</f>
      </c>
      <c r="W45" t="s" s="496">
        <f>IF(R45="calc",DEGREES(ASIN(V45/M45)),R45)</f>
      </c>
      <c r="X45" t="s" s="480">
        <f>IF(OR($H45="no",$B45=0),"",IF($I45='Parameters'!$K$15,$L45/($M45/2),$L45/$M45))</f>
      </c>
      <c r="Y45" t="s" s="480">
        <f>IF(OR($H45="no",$B45=0),"",IF($X45&lt;0.5,'Parameters'!$X$4,IF($X45&lt;1,'Parameters'!$Y$4,IF($X45&lt;2,'Parameters'!$Z$4,'Parameters'!$AA$4))))</f>
      </c>
      <c r="Z45" t="s" s="480">
        <f>IF(OR($H45="no",$B45=0),"",IF($X45&lt;0.5,'Parameters'!$X$5,IF($X45&lt;1,'Parameters'!$Y$5,IF($X45&lt;2,'Parameters'!$Z$5,'Parameters'!$AA$5))))</f>
      </c>
      <c r="AA45" t="s" s="480">
        <f>IF(OR($H45="no",$B45=0),"",IF($I45='Parameters'!$K$15,(2*($M45/2)*SIN(RADIANS($W45/2))),(2*$M45*SIN(RADIANS($W45/2)))))</f>
      </c>
      <c r="AB45" t="s" s="480">
        <f>IF(OR($H45="no",$B45=0),"",$Z45*(1-EXP(-$Y45*$W45)))</f>
      </c>
      <c r="AC45" t="s" s="480">
        <f>IF(OR($H45="no",$B45=0),"",IF($I45='Parameters'!$K$15,$AB45*$N45/2,$AB45*$N45))</f>
      </c>
      <c r="AD45" t="s" s="497">
        <f>IF(OR($H45="no",$B45=0),"",IF($I45='Parameters'!$K$15,$AC45*2/'Parameters'!$AB$4,$AC45/'Parameters'!$AB$4))</f>
      </c>
      <c r="AE45" t="s" s="487">
        <f>IF(AND(O45="B",Q45="calc"),V45,IF(AND(O45="C",Q45="calc"),'Window &amp; Door DATA INPUT'!T51/1000,""))</f>
      </c>
      <c r="AF45" t="s" s="414">
        <f>IF(AND(O45="B",Q45="input"),'Window &amp; Door DATA INPUT'!AA51,IF(AND(O45="C",Q45="input",P45="F"),'Window &amp; Door DATA INPUT'!V51,IF(AND(O45="C",P45="E"),0,IF(AND(O45="D"),0,IF(AND(B45=1,C45=0),"",(Q45))))))</f>
      </c>
      <c r="AG45" t="s" s="496">
        <f>IF(AF45="calc",DEGREES(ASIN(AE45/M45)),AF45)</f>
      </c>
      <c r="AH45" t="s" s="480">
        <f>IF(OR($H45="no",$C45=0),"",IF($I45='Parameters'!$K$15,$L45/($M45/2),$L45/$M45))</f>
      </c>
      <c r="AI45" t="s" s="480">
        <f>IF(OR($H45="no",$C45=0),"",IF($AH45&lt;0.5,'Parameters'!$X$4,IF($AH45&lt;1,'Parameters'!$Y$4,IF($AH45&lt;2,'Parameters'!$Z$4,'Parameters'!$AA$4))))</f>
      </c>
      <c r="AJ45" t="s" s="480">
        <f>IF(OR($H45="no",$C45=0),"",IF($AH45&lt;0.5,'Parameters'!$X$5,IF($AH45&lt;1,'Parameters'!$Y$5,IF($AH45&lt;2,'Parameters'!$Z$5,'Parameters'!$AA$5))))</f>
      </c>
      <c r="AK45" t="s" s="480">
        <f>IF(OR($H45="no",$C45=0),"",IF($I45='Parameters'!$K$15,(2*($M45/2)*SIN(RADIANS($AG45/2))),(2*$M45*SIN(RADIANS($AG45/2)))))</f>
      </c>
      <c r="AL45" t="s" s="480">
        <f>IF(OR($H45="no",$C45=0),"",$AJ45*(1-EXP(-$AI45*$AG45)))</f>
      </c>
      <c r="AM45" t="s" s="480">
        <f>IF(OR($H45="no",$C45=0),"",IF($I45='Parameters'!$K$15,$AL45*$N45/2,$AL45*$N45))</f>
      </c>
      <c r="AN45" t="s" s="497">
        <f>IF(OR($H45="no",$C45=0),"",IF($I45='Parameters'!$K$15,$AM45*2/'Parameters'!$AB$4,$AM45/'Parameters'!$AB$4))</f>
      </c>
      <c r="AO45" s="510"/>
      <c r="AP45" s="441"/>
      <c r="AQ45" s="441"/>
      <c r="AR45" s="441"/>
      <c r="AS45" s="441"/>
      <c r="AT45" s="441"/>
      <c r="AU45" s="441"/>
      <c r="AV45" s="441"/>
      <c r="AW45" s="441"/>
      <c r="AX45" s="441"/>
      <c r="AY45" s="441"/>
      <c r="AZ45" s="441"/>
      <c r="BA45" s="441"/>
      <c r="BB45" s="441"/>
      <c r="BC45" s="441"/>
      <c r="BD45" s="441"/>
      <c r="BE45" s="441"/>
      <c r="BF45" s="441"/>
      <c r="BG45" s="441"/>
      <c r="BH45" s="441"/>
      <c r="BI45" s="441"/>
      <c r="BJ45" s="441"/>
      <c r="BK45" s="441"/>
      <c r="BL45" s="441"/>
    </row>
    <row r="46" ht="16" customHeight="1">
      <c r="A46" s="470"/>
      <c r="B46" s="479">
        <f>IF('Window &amp; Door DATA INPUT'!B52&gt;1,1,0)</f>
        <v>0</v>
      </c>
      <c r="C46" s="479">
        <f>IF(AND(B46=1,OR(D46='Parameters'!$D$17,D46='Parameters'!$D$18,D46='Parameters'!$D$19,D46='Parameters'!$D$20,D46='Parameters'!$D$21)),1,0)</f>
        <v>0</v>
      </c>
      <c r="D46" t="s" s="480">
        <f>IF('Window &amp; Door DATA INPUT'!B52="","",'Window &amp; Door DATA INPUT'!B52)</f>
      </c>
      <c r="E46" t="s" s="480">
        <f>IF('Window &amp; Door DATA INPUT'!D52="","",'Window &amp; Door DATA INPUT'!D52)</f>
      </c>
      <c r="F46" t="s" s="480">
        <f>IF(B46=1,'Window &amp; Door DATA INPUT'!H52&amp;'RESULTS'!$H$5,"")</f>
      </c>
      <c r="G46" t="s" s="480">
        <f>IF(B46=1,VLOOKUP(F46,'Parameters'!$H$4:$I$20,2,FALSE),"")</f>
      </c>
      <c r="H46" t="s" s="480">
        <f>IF(OR('Window &amp; Door DATA INPUT'!J52='Parameters'!$K$4,'Window &amp; Door DATA INPUT'!J52='Parameters'!$K$11),"No",IF('Window &amp; Door DATA INPUT'!K52="","",'Window &amp; Door DATA INPUT'!K52))</f>
      </c>
      <c r="I46" t="s" s="480">
        <f>IF('Window &amp; Door DATA INPUT'!J52="","",'Window &amp; Door DATA INPUT'!J52)</f>
      </c>
      <c r="J46" t="s" s="480">
        <f>IF('Window &amp; Door DATA INPUT'!L52='Parameters'!$O$5,'Window &amp; Door DATA INPUT'!O52,IF(B46=1,'Window &amp; Door DATA INPUT'!N52*'Window &amp; Door DATA INPUT'!M52,""))</f>
      </c>
      <c r="K46" t="s" s="414">
        <f>IF('Window &amp; Door DATA INPUT'!J52="","",VLOOKUP('Window &amp; Door DATA INPUT'!J52,'Parameters'!$K$4:$L$16,2,FALSE))</f>
      </c>
      <c r="L46" t="s" s="480">
        <f>IF($H46="yes",IF($K46="Y",'Window &amp; Door DATA INPUT'!Q52,IF($K46="N",'Window &amp; Door DATA INPUT'!P52)),"")</f>
      </c>
      <c r="M46" t="s" s="480">
        <f>IF($H46="yes",IF($K46="Y",'Window &amp; Door DATA INPUT'!P52,IF($K46="N",'Window &amp; Door DATA INPUT'!Q52)),"")</f>
      </c>
      <c r="N46" t="s" s="480">
        <f>IF(L46="","",L46*M46)</f>
      </c>
      <c r="O46" t="s" s="414">
        <f>IF(AND(B46=1,C46=0,H46="yes"),"A",IF(AND(C46=1,H46="yes",'Window &amp; Door DATA INPUT'!R52="no"),"B",IF(AND(C46=1,H46="yes",'Window &amp; Door DATA INPUT'!R52="yes",'Window &amp; Door DATA INPUT'!S52="yes"),"C",IF(AND(C46=1,H46="yes",'Window &amp; Door DATA INPUT'!R52="yes",'Window &amp; Door DATA INPUT'!S52="no"),"D",""))))</f>
      </c>
      <c r="P46" t="s" s="414">
        <f>IF(AND(C46=1,H46="yes",OR(I46='Parameters'!$K$12,I46='Parameters'!$K$13,I46='Parameters'!$K$14)),"E",IF(AND(C46=1,H46="yes",NOT(OR(I46='Parameters'!$K$12,I46='Parameters'!$K$13,I46='Parameters'!$K$14))),"F",""))</f>
      </c>
      <c r="Q46" t="s" s="414">
        <f>IF(AND(B46=1,H46="yes"),VLOOKUP(I46,'Parameters'!$K$4:$M$16,3,FALSE),"")</f>
      </c>
      <c r="R46" t="s" s="414">
        <f>IF(AND(OR(O46="A",O46="B",O46="d"),Q46="input"),'Window &amp; Door DATA INPUT'!AA52,IF(AND(O46="C",Q46="input"),'Window &amp; Door DATA INPUT'!W52,Q46))</f>
      </c>
      <c r="S46" t="s" s="414">
        <f>IF('Window &amp; Door DATA INPUT'!X52="Yes",'Window &amp; Door DATA INPUT'!Y52/1000,IF(B46=1,"N/A",""))</f>
      </c>
      <c r="T46" t="s" s="480">
        <f>IF(Q46="calc",IF(P46="yes",'Window &amp; Door DATA INPUT'!U52/1000,('Parameters'!$S$4-'Window &amp; Door DATA INPUT'!Z52+'Parameters'!$Q$4)/1000),"")</f>
      </c>
      <c r="U46" t="s" s="480">
        <f>IF(Q46="calc",IF(T46&gt;M46,M46,T46),"")</f>
      </c>
      <c r="V46" t="s" s="480">
        <f>IF(AND(S46&gt;0,S46&lt;U46),S46,U46)</f>
      </c>
      <c r="W46" t="s" s="496">
        <f>IF(R46="calc",DEGREES(ASIN(V46/M46)),R46)</f>
      </c>
      <c r="X46" t="s" s="480">
        <f>IF(OR($H46="no",$B46=0),"",IF($I46='Parameters'!$K$15,$L46/($M46/2),$L46/$M46))</f>
      </c>
      <c r="Y46" t="s" s="480">
        <f>IF(OR($H46="no",$B46=0),"",IF($X46&lt;0.5,'Parameters'!$X$4,IF($X46&lt;1,'Parameters'!$Y$4,IF($X46&lt;2,'Parameters'!$Z$4,'Parameters'!$AA$4))))</f>
      </c>
      <c r="Z46" t="s" s="480">
        <f>IF(OR($H46="no",$B46=0),"",IF($X46&lt;0.5,'Parameters'!$X$5,IF($X46&lt;1,'Parameters'!$Y$5,IF($X46&lt;2,'Parameters'!$Z$5,'Parameters'!$AA$5))))</f>
      </c>
      <c r="AA46" t="s" s="480">
        <f>IF(OR($H46="no",$B46=0),"",IF($I46='Parameters'!$K$15,(2*($M46/2)*SIN(RADIANS($W46/2))),(2*$M46*SIN(RADIANS($W46/2)))))</f>
      </c>
      <c r="AB46" t="s" s="480">
        <f>IF(OR($H46="no",$B46=0),"",$Z46*(1-EXP(-$Y46*$W46)))</f>
      </c>
      <c r="AC46" t="s" s="480">
        <f>IF(OR($H46="no",$B46=0),"",IF($I46='Parameters'!$K$15,$AB46*$N46/2,$AB46*$N46))</f>
      </c>
      <c r="AD46" t="s" s="497">
        <f>IF(OR($H46="no",$B46=0),"",IF($I46='Parameters'!$K$15,$AC46*2/'Parameters'!$AB$4,$AC46/'Parameters'!$AB$4))</f>
      </c>
      <c r="AE46" t="s" s="487">
        <f>IF(AND(O46="B",Q46="calc"),V46,IF(AND(O46="C",Q46="calc"),'Window &amp; Door DATA INPUT'!T52/1000,""))</f>
      </c>
      <c r="AF46" t="s" s="414">
        <f>IF(AND(O46="B",Q46="input"),'Window &amp; Door DATA INPUT'!AA52,IF(AND(O46="C",Q46="input",P46="F"),'Window &amp; Door DATA INPUT'!V52,IF(AND(O46="C",P46="E"),0,IF(AND(O46="D"),0,IF(AND(B46=1,C46=0),"",(Q46))))))</f>
      </c>
      <c r="AG46" t="s" s="496">
        <f>IF(AF46="calc",DEGREES(ASIN(AE46/M46)),AF46)</f>
      </c>
      <c r="AH46" t="s" s="480">
        <f>IF(OR($H46="no",$C46=0),"",IF($I46='Parameters'!$K$15,$L46/($M46/2),$L46/$M46))</f>
      </c>
      <c r="AI46" t="s" s="480">
        <f>IF(OR($H46="no",$C46=0),"",IF($AH46&lt;0.5,'Parameters'!$X$4,IF($AH46&lt;1,'Parameters'!$Y$4,IF($AH46&lt;2,'Parameters'!$Z$4,'Parameters'!$AA$4))))</f>
      </c>
      <c r="AJ46" t="s" s="480">
        <f>IF(OR($H46="no",$C46=0),"",IF($AH46&lt;0.5,'Parameters'!$X$5,IF($AH46&lt;1,'Parameters'!$Y$5,IF($AH46&lt;2,'Parameters'!$Z$5,'Parameters'!$AA$5))))</f>
      </c>
      <c r="AK46" t="s" s="480">
        <f>IF(OR($H46="no",$C46=0),"",IF($I46='Parameters'!$K$15,(2*($M46/2)*SIN(RADIANS($AG46/2))),(2*$M46*SIN(RADIANS($AG46/2)))))</f>
      </c>
      <c r="AL46" t="s" s="480">
        <f>IF(OR($H46="no",$C46=0),"",$AJ46*(1-EXP(-$AI46*$AG46)))</f>
      </c>
      <c r="AM46" t="s" s="480">
        <f>IF(OR($H46="no",$C46=0),"",IF($I46='Parameters'!$K$15,$AL46*$N46/2,$AL46*$N46))</f>
      </c>
      <c r="AN46" t="s" s="497">
        <f>IF(OR($H46="no",$C46=0),"",IF($I46='Parameters'!$K$15,$AM46*2/'Parameters'!$AB$4,$AM46/'Parameters'!$AB$4))</f>
      </c>
      <c r="AO46" s="510"/>
      <c r="AP46" s="441"/>
      <c r="AQ46" s="441"/>
      <c r="AR46" s="441"/>
      <c r="AS46" s="441"/>
      <c r="AT46" s="441"/>
      <c r="AU46" s="441"/>
      <c r="AV46" s="441"/>
      <c r="AW46" s="441"/>
      <c r="AX46" s="441"/>
      <c r="AY46" s="441"/>
      <c r="AZ46" s="441"/>
      <c r="BA46" s="441"/>
      <c r="BB46" s="441"/>
      <c r="BC46" s="441"/>
      <c r="BD46" s="441"/>
      <c r="BE46" s="441"/>
      <c r="BF46" s="441"/>
      <c r="BG46" s="441"/>
      <c r="BH46" s="441"/>
      <c r="BI46" s="441"/>
      <c r="BJ46" s="441"/>
      <c r="BK46" s="441"/>
      <c r="BL46" s="441"/>
    </row>
    <row r="47" ht="16" customHeight="1">
      <c r="A47" s="470"/>
      <c r="B47" s="479">
        <f>IF('Window &amp; Door DATA INPUT'!B53&gt;1,1,0)</f>
        <v>0</v>
      </c>
      <c r="C47" s="479">
        <f>IF(AND(B47=1,OR(D47='Parameters'!$D$17,D47='Parameters'!$D$18,D47='Parameters'!$D$19,D47='Parameters'!$D$20,D47='Parameters'!$D$21)),1,0)</f>
        <v>0</v>
      </c>
      <c r="D47" t="s" s="480">
        <f>IF('Window &amp; Door DATA INPUT'!B53="","",'Window &amp; Door DATA INPUT'!B53)</f>
      </c>
      <c r="E47" t="s" s="480">
        <f>IF('Window &amp; Door DATA INPUT'!D53="","",'Window &amp; Door DATA INPUT'!D53)</f>
      </c>
      <c r="F47" t="s" s="480">
        <f>IF(B47=1,'Window &amp; Door DATA INPUT'!H53&amp;'RESULTS'!$H$5,"")</f>
      </c>
      <c r="G47" t="s" s="480">
        <f>IF(B47=1,VLOOKUP(F47,'Parameters'!$H$4:$I$20,2,FALSE),"")</f>
      </c>
      <c r="H47" t="s" s="480">
        <f>IF(OR('Window &amp; Door DATA INPUT'!J53='Parameters'!$K$4,'Window &amp; Door DATA INPUT'!J53='Parameters'!$K$11),"No",IF('Window &amp; Door DATA INPUT'!K53="","",'Window &amp; Door DATA INPUT'!K53))</f>
      </c>
      <c r="I47" t="s" s="480">
        <f>IF('Window &amp; Door DATA INPUT'!J53="","",'Window &amp; Door DATA INPUT'!J53)</f>
      </c>
      <c r="J47" t="s" s="480">
        <f>IF('Window &amp; Door DATA INPUT'!L53='Parameters'!$O$5,'Window &amp; Door DATA INPUT'!O53,IF(B47=1,'Window &amp; Door DATA INPUT'!N53*'Window &amp; Door DATA INPUT'!M53,""))</f>
      </c>
      <c r="K47" t="s" s="414">
        <f>IF('Window &amp; Door DATA INPUT'!J53="","",VLOOKUP('Window &amp; Door DATA INPUT'!J53,'Parameters'!$K$4:$L$16,2,FALSE))</f>
      </c>
      <c r="L47" t="s" s="480">
        <f>IF($H47="yes",IF($K47="Y",'Window &amp; Door DATA INPUT'!Q53,IF($K47="N",'Window &amp; Door DATA INPUT'!P53)),"")</f>
      </c>
      <c r="M47" t="s" s="480">
        <f>IF($H47="yes",IF($K47="Y",'Window &amp; Door DATA INPUT'!P53,IF($K47="N",'Window &amp; Door DATA INPUT'!Q53)),"")</f>
      </c>
      <c r="N47" t="s" s="480">
        <f>IF(L47="","",L47*M47)</f>
      </c>
      <c r="O47" t="s" s="414">
        <f>IF(AND(B47=1,C47=0,H47="yes"),"A",IF(AND(C47=1,H47="yes",'Window &amp; Door DATA INPUT'!R53="no"),"B",IF(AND(C47=1,H47="yes",'Window &amp; Door DATA INPUT'!R53="yes",'Window &amp; Door DATA INPUT'!S53="yes"),"C",IF(AND(C47=1,H47="yes",'Window &amp; Door DATA INPUT'!R53="yes",'Window &amp; Door DATA INPUT'!S53="no"),"D",""))))</f>
      </c>
      <c r="P47" t="s" s="414">
        <f>IF(AND(C47=1,H47="yes",OR(I47='Parameters'!$K$12,I47='Parameters'!$K$13,I47='Parameters'!$K$14)),"E",IF(AND(C47=1,H47="yes",NOT(OR(I47='Parameters'!$K$12,I47='Parameters'!$K$13,I47='Parameters'!$K$14))),"F",""))</f>
      </c>
      <c r="Q47" t="s" s="414">
        <f>IF(AND(B47=1,H47="yes"),VLOOKUP(I47,'Parameters'!$K$4:$M$16,3,FALSE),"")</f>
      </c>
      <c r="R47" t="s" s="414">
        <f>IF(AND(OR(O47="A",O47="B",O47="d"),Q47="input"),'Window &amp; Door DATA INPUT'!AA53,IF(AND(O47="C",Q47="input"),'Window &amp; Door DATA INPUT'!W53,Q47))</f>
      </c>
      <c r="S47" t="s" s="414">
        <f>IF('Window &amp; Door DATA INPUT'!X53="Yes",'Window &amp; Door DATA INPUT'!Y53/1000,IF(B47=1,"N/A",""))</f>
      </c>
      <c r="T47" t="s" s="480">
        <f>IF(Q47="calc",IF(P47="yes",'Window &amp; Door DATA INPUT'!U53/1000,('Parameters'!$S$4-'Window &amp; Door DATA INPUT'!Z53+'Parameters'!$Q$4)/1000),"")</f>
      </c>
      <c r="U47" t="s" s="480">
        <f>IF(Q47="calc",IF(T47&gt;M47,M47,T47),"")</f>
      </c>
      <c r="V47" t="s" s="480">
        <f>IF(AND(S47&gt;0,S47&lt;U47),S47,U47)</f>
      </c>
      <c r="W47" t="s" s="496">
        <f>IF(R47="calc",DEGREES(ASIN(V47/M47)),R47)</f>
      </c>
      <c r="X47" t="s" s="480">
        <f>IF(OR($H47="no",$B47=0),"",IF($I47='Parameters'!$K$15,$L47/($M47/2),$L47/$M47))</f>
      </c>
      <c r="Y47" t="s" s="480">
        <f>IF(OR($H47="no",$B47=0),"",IF($X47&lt;0.5,'Parameters'!$X$4,IF($X47&lt;1,'Parameters'!$Y$4,IF($X47&lt;2,'Parameters'!$Z$4,'Parameters'!$AA$4))))</f>
      </c>
      <c r="Z47" t="s" s="480">
        <f>IF(OR($H47="no",$B47=0),"",IF($X47&lt;0.5,'Parameters'!$X$5,IF($X47&lt;1,'Parameters'!$Y$5,IF($X47&lt;2,'Parameters'!$Z$5,'Parameters'!$AA$5))))</f>
      </c>
      <c r="AA47" t="s" s="480">
        <f>IF(OR($H47="no",$B47=0),"",IF($I47='Parameters'!$K$15,(2*($M47/2)*SIN(RADIANS($W47/2))),(2*$M47*SIN(RADIANS($W47/2)))))</f>
      </c>
      <c r="AB47" t="s" s="480">
        <f>IF(OR($H47="no",$B47=0),"",$Z47*(1-EXP(-$Y47*$W47)))</f>
      </c>
      <c r="AC47" t="s" s="480">
        <f>IF(OR($H47="no",$B47=0),"",IF($I47='Parameters'!$K$15,$AB47*$N47/2,$AB47*$N47))</f>
      </c>
      <c r="AD47" t="s" s="497">
        <f>IF(OR($H47="no",$B47=0),"",IF($I47='Parameters'!$K$15,$AC47*2/'Parameters'!$AB$4,$AC47/'Parameters'!$AB$4))</f>
      </c>
      <c r="AE47" t="s" s="487">
        <f>IF(AND(O47="B",Q47="calc"),V47,IF(AND(O47="C",Q47="calc"),'Window &amp; Door DATA INPUT'!T53/1000,""))</f>
      </c>
      <c r="AF47" t="s" s="414">
        <f>IF(AND(O47="B",Q47="input"),'Window &amp; Door DATA INPUT'!AA53,IF(AND(O47="C",Q47="input",P47="F"),'Window &amp; Door DATA INPUT'!V53,IF(AND(O47="C",P47="E"),0,IF(AND(O47="D"),0,IF(AND(B47=1,C47=0),"",(Q47))))))</f>
      </c>
      <c r="AG47" t="s" s="496">
        <f>IF(AF47="calc",DEGREES(ASIN(AE47/M47)),AF47)</f>
      </c>
      <c r="AH47" t="s" s="480">
        <f>IF(OR($H47="no",$C47=0),"",IF($I47='Parameters'!$K$15,$L47/($M47/2),$L47/$M47))</f>
      </c>
      <c r="AI47" t="s" s="480">
        <f>IF(OR($H47="no",$C47=0),"",IF($AH47&lt;0.5,'Parameters'!$X$4,IF($AH47&lt;1,'Parameters'!$Y$4,IF($AH47&lt;2,'Parameters'!$Z$4,'Parameters'!$AA$4))))</f>
      </c>
      <c r="AJ47" t="s" s="480">
        <f>IF(OR($H47="no",$C47=0),"",IF($AH47&lt;0.5,'Parameters'!$X$5,IF($AH47&lt;1,'Parameters'!$Y$5,IF($AH47&lt;2,'Parameters'!$Z$5,'Parameters'!$AA$5))))</f>
      </c>
      <c r="AK47" t="s" s="480">
        <f>IF(OR($H47="no",$C47=0),"",IF($I47='Parameters'!$K$15,(2*($M47/2)*SIN(RADIANS($AG47/2))),(2*$M47*SIN(RADIANS($AG47/2)))))</f>
      </c>
      <c r="AL47" t="s" s="480">
        <f>IF(OR($H47="no",$C47=0),"",$AJ47*(1-EXP(-$AI47*$AG47)))</f>
      </c>
      <c r="AM47" t="s" s="480">
        <f>IF(OR($H47="no",$C47=0),"",IF($I47='Parameters'!$K$15,$AL47*$N47/2,$AL47*$N47))</f>
      </c>
      <c r="AN47" t="s" s="497">
        <f>IF(OR($H47="no",$C47=0),"",IF($I47='Parameters'!$K$15,$AM47*2/'Parameters'!$AB$4,$AM47/'Parameters'!$AB$4))</f>
      </c>
      <c r="AO47" s="510"/>
      <c r="AP47" s="441"/>
      <c r="AQ47" s="441"/>
      <c r="AR47" s="441"/>
      <c r="AS47" s="441"/>
      <c r="AT47" s="441"/>
      <c r="AU47" s="441"/>
      <c r="AV47" s="441"/>
      <c r="AW47" s="441"/>
      <c r="AX47" s="441"/>
      <c r="AY47" s="441"/>
      <c r="AZ47" s="441"/>
      <c r="BA47" s="441"/>
      <c r="BB47" s="441"/>
      <c r="BC47" s="441"/>
      <c r="BD47" s="441"/>
      <c r="BE47" s="441"/>
      <c r="BF47" s="441"/>
      <c r="BG47" s="441"/>
      <c r="BH47" s="441"/>
      <c r="BI47" s="441"/>
      <c r="BJ47" s="441"/>
      <c r="BK47" s="441"/>
      <c r="BL47" s="441"/>
    </row>
    <row r="48" ht="16" customHeight="1">
      <c r="A48" s="470"/>
      <c r="B48" s="479">
        <f>IF('Window &amp; Door DATA INPUT'!B54&gt;1,1,0)</f>
        <v>0</v>
      </c>
      <c r="C48" s="479">
        <f>IF(AND(B48=1,OR(D48='Parameters'!$D$17,D48='Parameters'!$D$18,D48='Parameters'!$D$19,D48='Parameters'!$D$20,D48='Parameters'!$D$21)),1,0)</f>
        <v>0</v>
      </c>
      <c r="D48" t="s" s="480">
        <f>IF('Window &amp; Door DATA INPUT'!B54="","",'Window &amp; Door DATA INPUT'!B54)</f>
      </c>
      <c r="E48" t="s" s="480">
        <f>IF('Window &amp; Door DATA INPUT'!D54="","",'Window &amp; Door DATA INPUT'!D54)</f>
      </c>
      <c r="F48" t="s" s="480">
        <f>IF(B48=1,'Window &amp; Door DATA INPUT'!H54&amp;'RESULTS'!$H$5,"")</f>
      </c>
      <c r="G48" t="s" s="480">
        <f>IF(B48=1,VLOOKUP(F48,'Parameters'!$H$4:$I$20,2,FALSE),"")</f>
      </c>
      <c r="H48" t="s" s="480">
        <f>IF(OR('Window &amp; Door DATA INPUT'!J54='Parameters'!$K$4,'Window &amp; Door DATA INPUT'!J54='Parameters'!$K$11),"No",IF('Window &amp; Door DATA INPUT'!K54="","",'Window &amp; Door DATA INPUT'!K54))</f>
      </c>
      <c r="I48" t="s" s="480">
        <f>IF('Window &amp; Door DATA INPUT'!J54="","",'Window &amp; Door DATA INPUT'!J54)</f>
      </c>
      <c r="J48" t="s" s="480">
        <f>IF('Window &amp; Door DATA INPUT'!L54='Parameters'!$O$5,'Window &amp; Door DATA INPUT'!O54,IF(B48=1,'Window &amp; Door DATA INPUT'!N54*'Window &amp; Door DATA INPUT'!M54,""))</f>
      </c>
      <c r="K48" t="s" s="414">
        <f>IF('Window &amp; Door DATA INPUT'!J54="","",VLOOKUP('Window &amp; Door DATA INPUT'!J54,'Parameters'!$K$4:$L$16,2,FALSE))</f>
      </c>
      <c r="L48" t="s" s="480">
        <f>IF($H48="yes",IF($K48="Y",'Window &amp; Door DATA INPUT'!Q54,IF($K48="N",'Window &amp; Door DATA INPUT'!P54)),"")</f>
      </c>
      <c r="M48" t="s" s="480">
        <f>IF($H48="yes",IF($K48="Y",'Window &amp; Door DATA INPUT'!P54,IF($K48="N",'Window &amp; Door DATA INPUT'!Q54)),"")</f>
      </c>
      <c r="N48" t="s" s="480">
        <f>IF(L48="","",L48*M48)</f>
      </c>
      <c r="O48" t="s" s="414">
        <f>IF(AND(B48=1,C48=0,H48="yes"),"A",IF(AND(C48=1,H48="yes",'Window &amp; Door DATA INPUT'!R54="no"),"B",IF(AND(C48=1,H48="yes",'Window &amp; Door DATA INPUT'!R54="yes",'Window &amp; Door DATA INPUT'!S54="yes"),"C",IF(AND(C48=1,H48="yes",'Window &amp; Door DATA INPUT'!R54="yes",'Window &amp; Door DATA INPUT'!S54="no"),"D",""))))</f>
      </c>
      <c r="P48" t="s" s="414">
        <f>IF(AND(C48=1,H48="yes",OR(I48='Parameters'!$K$12,I48='Parameters'!$K$13,I48='Parameters'!$K$14)),"E",IF(AND(C48=1,H48="yes",NOT(OR(I48='Parameters'!$K$12,I48='Parameters'!$K$13,I48='Parameters'!$K$14))),"F",""))</f>
      </c>
      <c r="Q48" t="s" s="414">
        <f>IF(AND(B48=1,H48="yes"),VLOOKUP(I48,'Parameters'!$K$4:$M$16,3,FALSE),"")</f>
      </c>
      <c r="R48" t="s" s="414">
        <f>IF(AND(OR(O48="A",O48="B",O48="d"),Q48="input"),'Window &amp; Door DATA INPUT'!AA54,IF(AND(O48="C",Q48="input"),'Window &amp; Door DATA INPUT'!W54,Q48))</f>
      </c>
      <c r="S48" t="s" s="414">
        <f>IF('Window &amp; Door DATA INPUT'!X54="Yes",'Window &amp; Door DATA INPUT'!Y54/1000,IF(B48=1,"N/A",""))</f>
      </c>
      <c r="T48" t="s" s="480">
        <f>IF(Q48="calc",IF(P48="yes",'Window &amp; Door DATA INPUT'!U54/1000,('Parameters'!$S$4-'Window &amp; Door DATA INPUT'!Z54+'Parameters'!$Q$4)/1000),"")</f>
      </c>
      <c r="U48" t="s" s="480">
        <f>IF(Q48="calc",IF(T48&gt;M48,M48,T48),"")</f>
      </c>
      <c r="V48" t="s" s="480">
        <f>IF(AND(S48&gt;0,S48&lt;U48),S48,U48)</f>
      </c>
      <c r="W48" t="s" s="496">
        <f>IF(R48="calc",DEGREES(ASIN(V48/M48)),R48)</f>
      </c>
      <c r="X48" t="s" s="480">
        <f>IF(OR($H48="no",$B48=0),"",IF($I48='Parameters'!$K$15,$L48/($M48/2),$L48/$M48))</f>
      </c>
      <c r="Y48" t="s" s="480">
        <f>IF(OR($H48="no",$B48=0),"",IF($X48&lt;0.5,'Parameters'!$X$4,IF($X48&lt;1,'Parameters'!$Y$4,IF($X48&lt;2,'Parameters'!$Z$4,'Parameters'!$AA$4))))</f>
      </c>
      <c r="Z48" t="s" s="480">
        <f>IF(OR($H48="no",$B48=0),"",IF($X48&lt;0.5,'Parameters'!$X$5,IF($X48&lt;1,'Parameters'!$Y$5,IF($X48&lt;2,'Parameters'!$Z$5,'Parameters'!$AA$5))))</f>
      </c>
      <c r="AA48" t="s" s="480">
        <f>IF(OR($H48="no",$B48=0),"",IF($I48='Parameters'!$K$15,(2*($M48/2)*SIN(RADIANS($W48/2))),(2*$M48*SIN(RADIANS($W48/2)))))</f>
      </c>
      <c r="AB48" t="s" s="480">
        <f>IF(OR($H48="no",$B48=0),"",$Z48*(1-EXP(-$Y48*$W48)))</f>
      </c>
      <c r="AC48" t="s" s="480">
        <f>IF(OR($H48="no",$B48=0),"",IF($I48='Parameters'!$K$15,$AB48*$N48/2,$AB48*$N48))</f>
      </c>
      <c r="AD48" t="s" s="497">
        <f>IF(OR($H48="no",$B48=0),"",IF($I48='Parameters'!$K$15,$AC48*2/'Parameters'!$AB$4,$AC48/'Parameters'!$AB$4))</f>
      </c>
      <c r="AE48" t="s" s="487">
        <f>IF(AND(O48="B",Q48="calc"),V48,IF(AND(O48="C",Q48="calc"),'Window &amp; Door DATA INPUT'!T54/1000,""))</f>
      </c>
      <c r="AF48" t="s" s="414">
        <f>IF(AND(O48="B",Q48="input"),'Window &amp; Door DATA INPUT'!AA54,IF(AND(O48="C",Q48="input",P48="F"),'Window &amp; Door DATA INPUT'!V54,IF(AND(O48="C",P48="E"),0,IF(AND(O48="D"),0,IF(AND(B48=1,C48=0),"",(Q48))))))</f>
      </c>
      <c r="AG48" t="s" s="496">
        <f>IF(AF48="calc",DEGREES(ASIN(AE48/M48)),AF48)</f>
      </c>
      <c r="AH48" t="s" s="480">
        <f>IF(OR($H48="no",$C48=0),"",IF($I48='Parameters'!$K$15,$L48/($M48/2),$L48/$M48))</f>
      </c>
      <c r="AI48" t="s" s="480">
        <f>IF(OR($H48="no",$C48=0),"",IF($AH48&lt;0.5,'Parameters'!$X$4,IF($AH48&lt;1,'Parameters'!$Y$4,IF($AH48&lt;2,'Parameters'!$Z$4,'Parameters'!$AA$4))))</f>
      </c>
      <c r="AJ48" t="s" s="480">
        <f>IF(OR($H48="no",$C48=0),"",IF($AH48&lt;0.5,'Parameters'!$X$5,IF($AH48&lt;1,'Parameters'!$Y$5,IF($AH48&lt;2,'Parameters'!$Z$5,'Parameters'!$AA$5))))</f>
      </c>
      <c r="AK48" t="s" s="480">
        <f>IF(OR($H48="no",$C48=0),"",IF($I48='Parameters'!$K$15,(2*($M48/2)*SIN(RADIANS($AG48/2))),(2*$M48*SIN(RADIANS($AG48/2)))))</f>
      </c>
      <c r="AL48" t="s" s="480">
        <f>IF(OR($H48="no",$C48=0),"",$AJ48*(1-EXP(-$AI48*$AG48)))</f>
      </c>
      <c r="AM48" t="s" s="480">
        <f>IF(OR($H48="no",$C48=0),"",IF($I48='Parameters'!$K$15,$AL48*$N48/2,$AL48*$N48))</f>
      </c>
      <c r="AN48" t="s" s="497">
        <f>IF(OR($H48="no",$C48=0),"",IF($I48='Parameters'!$K$15,$AM48*2/'Parameters'!$AB$4,$AM48/'Parameters'!$AB$4))</f>
      </c>
      <c r="AO48" s="510"/>
      <c r="AP48" s="441"/>
      <c r="AQ48" s="441"/>
      <c r="AR48" s="441"/>
      <c r="AS48" s="441"/>
      <c r="AT48" s="441"/>
      <c r="AU48" s="441"/>
      <c r="AV48" s="441"/>
      <c r="AW48" s="441"/>
      <c r="AX48" s="441"/>
      <c r="AY48" s="441"/>
      <c r="AZ48" s="441"/>
      <c r="BA48" s="441"/>
      <c r="BB48" s="441"/>
      <c r="BC48" s="441"/>
      <c r="BD48" s="441"/>
      <c r="BE48" s="441"/>
      <c r="BF48" s="441"/>
      <c r="BG48" s="441"/>
      <c r="BH48" s="441"/>
      <c r="BI48" s="441"/>
      <c r="BJ48" s="441"/>
      <c r="BK48" s="441"/>
      <c r="BL48" s="441"/>
    </row>
    <row r="49" ht="16" customHeight="1">
      <c r="A49" s="470"/>
      <c r="B49" s="479">
        <f>IF('Window &amp; Door DATA INPUT'!B55&gt;1,1,0)</f>
        <v>0</v>
      </c>
      <c r="C49" s="479">
        <f>IF(AND(B49=1,OR(D49='Parameters'!$D$17,D49='Parameters'!$D$18,D49='Parameters'!$D$19,D49='Parameters'!$D$20,D49='Parameters'!$D$21)),1,0)</f>
        <v>0</v>
      </c>
      <c r="D49" t="s" s="480">
        <f>IF('Window &amp; Door DATA INPUT'!B55="","",'Window &amp; Door DATA INPUT'!B55)</f>
      </c>
      <c r="E49" t="s" s="480">
        <f>IF('Window &amp; Door DATA INPUT'!D55="","",'Window &amp; Door DATA INPUT'!D55)</f>
      </c>
      <c r="F49" t="s" s="480">
        <f>IF(B49=1,'Window &amp; Door DATA INPUT'!H55&amp;'RESULTS'!$H$5,"")</f>
      </c>
      <c r="G49" t="s" s="480">
        <f>IF(B49=1,VLOOKUP(F49,'Parameters'!$H$4:$I$20,2,FALSE),"")</f>
      </c>
      <c r="H49" t="s" s="480">
        <f>IF(OR('Window &amp; Door DATA INPUT'!J55='Parameters'!$K$4,'Window &amp; Door DATA INPUT'!J55='Parameters'!$K$11),"No",IF('Window &amp; Door DATA INPUT'!K55="","",'Window &amp; Door DATA INPUT'!K55))</f>
      </c>
      <c r="I49" t="s" s="480">
        <f>IF('Window &amp; Door DATA INPUT'!J55="","",'Window &amp; Door DATA INPUT'!J55)</f>
      </c>
      <c r="J49" t="s" s="480">
        <f>IF('Window &amp; Door DATA INPUT'!L55='Parameters'!$O$5,'Window &amp; Door DATA INPUT'!O55,IF(B49=1,'Window &amp; Door DATA INPUT'!N55*'Window &amp; Door DATA INPUT'!M55,""))</f>
      </c>
      <c r="K49" t="s" s="414">
        <f>IF('Window &amp; Door DATA INPUT'!J55="","",VLOOKUP('Window &amp; Door DATA INPUT'!J55,'Parameters'!$K$4:$L$16,2,FALSE))</f>
      </c>
      <c r="L49" t="s" s="480">
        <f>IF($H49="yes",IF($K49="Y",'Window &amp; Door DATA INPUT'!Q55,IF($K49="N",'Window &amp; Door DATA INPUT'!P55)),"")</f>
      </c>
      <c r="M49" t="s" s="480">
        <f>IF($H49="yes",IF($K49="Y",'Window &amp; Door DATA INPUT'!P55,IF($K49="N",'Window &amp; Door DATA INPUT'!Q55)),"")</f>
      </c>
      <c r="N49" t="s" s="480">
        <f>IF(L49="","",L49*M49)</f>
      </c>
      <c r="O49" t="s" s="414">
        <f>IF(AND(B49=1,C49=0,H49="yes"),"A",IF(AND(C49=1,H49="yes",'Window &amp; Door DATA INPUT'!R55="no"),"B",IF(AND(C49=1,H49="yes",'Window &amp; Door DATA INPUT'!R55="yes",'Window &amp; Door DATA INPUT'!S55="yes"),"C",IF(AND(C49=1,H49="yes",'Window &amp; Door DATA INPUT'!R55="yes",'Window &amp; Door DATA INPUT'!S55="no"),"D",""))))</f>
      </c>
      <c r="P49" t="s" s="414">
        <f>IF(AND(C49=1,H49="yes",OR(I49='Parameters'!$K$12,I49='Parameters'!$K$13,I49='Parameters'!$K$14)),"E",IF(AND(C49=1,H49="yes",NOT(OR(I49='Parameters'!$K$12,I49='Parameters'!$K$13,I49='Parameters'!$K$14))),"F",""))</f>
      </c>
      <c r="Q49" t="s" s="414">
        <f>IF(AND(B49=1,H49="yes"),VLOOKUP(I49,'Parameters'!$K$4:$M$16,3,FALSE),"")</f>
      </c>
      <c r="R49" t="s" s="414">
        <f>IF(AND(OR(O49="A",O49="B",O49="d"),Q49="input"),'Window &amp; Door DATA INPUT'!AA55,IF(AND(O49="C",Q49="input"),'Window &amp; Door DATA INPUT'!W55,Q49))</f>
      </c>
      <c r="S49" t="s" s="414">
        <f>IF('Window &amp; Door DATA INPUT'!X55="Yes",'Window &amp; Door DATA INPUT'!Y55/1000,IF(B49=1,"N/A",""))</f>
      </c>
      <c r="T49" t="s" s="480">
        <f>IF(Q49="calc",IF(P49="yes",'Window &amp; Door DATA INPUT'!U55/1000,('Parameters'!$S$4-'Window &amp; Door DATA INPUT'!Z55+'Parameters'!$Q$4)/1000),"")</f>
      </c>
      <c r="U49" t="s" s="480">
        <f>IF(Q49="calc",IF(T49&gt;M49,M49,T49),"")</f>
      </c>
      <c r="V49" t="s" s="480">
        <f>IF(AND(S49&gt;0,S49&lt;U49),S49,U49)</f>
      </c>
      <c r="W49" t="s" s="496">
        <f>IF(R49="calc",DEGREES(ASIN(V49/M49)),R49)</f>
      </c>
      <c r="X49" t="s" s="480">
        <f>IF(OR($H49="no",$B49=0),"",IF($I49='Parameters'!$K$15,$L49/($M49/2),$L49/$M49))</f>
      </c>
      <c r="Y49" t="s" s="480">
        <f>IF(OR($H49="no",$B49=0),"",IF($X49&lt;0.5,'Parameters'!$X$4,IF($X49&lt;1,'Parameters'!$Y$4,IF($X49&lt;2,'Parameters'!$Z$4,'Parameters'!$AA$4))))</f>
      </c>
      <c r="Z49" t="s" s="480">
        <f>IF(OR($H49="no",$B49=0),"",IF($X49&lt;0.5,'Parameters'!$X$5,IF($X49&lt;1,'Parameters'!$Y$5,IF($X49&lt;2,'Parameters'!$Z$5,'Parameters'!$AA$5))))</f>
      </c>
      <c r="AA49" t="s" s="480">
        <f>IF(OR($H49="no",$B49=0),"",IF($I49='Parameters'!$K$15,(2*($M49/2)*SIN(RADIANS($W49/2))),(2*$M49*SIN(RADIANS($W49/2)))))</f>
      </c>
      <c r="AB49" t="s" s="480">
        <f>IF(OR($H49="no",$B49=0),"",$Z49*(1-EXP(-$Y49*$W49)))</f>
      </c>
      <c r="AC49" t="s" s="480">
        <f>IF(OR($H49="no",$B49=0),"",IF($I49='Parameters'!$K$15,$AB49*$N49/2,$AB49*$N49))</f>
      </c>
      <c r="AD49" t="s" s="497">
        <f>IF(OR($H49="no",$B49=0),"",IF($I49='Parameters'!$K$15,$AC49*2/'Parameters'!$AB$4,$AC49/'Parameters'!$AB$4))</f>
      </c>
      <c r="AE49" t="s" s="487">
        <f>IF(AND(O49="B",Q49="calc"),V49,IF(AND(O49="C",Q49="calc"),'Window &amp; Door DATA INPUT'!T55/1000,""))</f>
      </c>
      <c r="AF49" t="s" s="414">
        <f>IF(AND(O49="B",Q49="input"),'Window &amp; Door DATA INPUT'!AA55,IF(AND(O49="C",Q49="input",P49="F"),'Window &amp; Door DATA INPUT'!V55,IF(AND(O49="C",P49="E"),0,IF(AND(O49="D"),0,IF(AND(B49=1,C49=0),"",(Q49))))))</f>
      </c>
      <c r="AG49" t="s" s="496">
        <f>IF(AF49="calc",DEGREES(ASIN(AE49/M49)),AF49)</f>
      </c>
      <c r="AH49" t="s" s="480">
        <f>IF(OR($H49="no",$C49=0),"",IF($I49='Parameters'!$K$15,$L49/($M49/2),$L49/$M49))</f>
      </c>
      <c r="AI49" t="s" s="480">
        <f>IF(OR($H49="no",$C49=0),"",IF($AH49&lt;0.5,'Parameters'!$X$4,IF($AH49&lt;1,'Parameters'!$Y$4,IF($AH49&lt;2,'Parameters'!$Z$4,'Parameters'!$AA$4))))</f>
      </c>
      <c r="AJ49" t="s" s="480">
        <f>IF(OR($H49="no",$C49=0),"",IF($AH49&lt;0.5,'Parameters'!$X$5,IF($AH49&lt;1,'Parameters'!$Y$5,IF($AH49&lt;2,'Parameters'!$Z$5,'Parameters'!$AA$5))))</f>
      </c>
      <c r="AK49" t="s" s="480">
        <f>IF(OR($H49="no",$C49=0),"",IF($I49='Parameters'!$K$15,(2*($M49/2)*SIN(RADIANS($AG49/2))),(2*$M49*SIN(RADIANS($AG49/2)))))</f>
      </c>
      <c r="AL49" t="s" s="480">
        <f>IF(OR($H49="no",$C49=0),"",$AJ49*(1-EXP(-$AI49*$AG49)))</f>
      </c>
      <c r="AM49" t="s" s="480">
        <f>IF(OR($H49="no",$C49=0),"",IF($I49='Parameters'!$K$15,$AL49*$N49/2,$AL49*$N49))</f>
      </c>
      <c r="AN49" t="s" s="497">
        <f>IF(OR($H49="no",$C49=0),"",IF($I49='Parameters'!$K$15,$AM49*2/'Parameters'!$AB$4,$AM49/'Parameters'!$AB$4))</f>
      </c>
      <c r="AO49" s="510"/>
      <c r="AP49" s="441"/>
      <c r="AQ49" s="441"/>
      <c r="AR49" s="441"/>
      <c r="AS49" s="441"/>
      <c r="AT49" s="441"/>
      <c r="AU49" s="441"/>
      <c r="AV49" s="441"/>
      <c r="AW49" s="441"/>
      <c r="AX49" s="441"/>
      <c r="AY49" s="441"/>
      <c r="AZ49" s="441"/>
      <c r="BA49" s="441"/>
      <c r="BB49" s="441"/>
      <c r="BC49" s="441"/>
      <c r="BD49" s="441"/>
      <c r="BE49" s="441"/>
      <c r="BF49" s="441"/>
      <c r="BG49" s="441"/>
      <c r="BH49" s="441"/>
      <c r="BI49" s="441"/>
      <c r="BJ49" s="441"/>
      <c r="BK49" s="441"/>
      <c r="BL49" s="441"/>
    </row>
    <row r="50" ht="16" customHeight="1">
      <c r="A50" s="470"/>
      <c r="B50" s="479">
        <f>IF('Window &amp; Door DATA INPUT'!B56&gt;1,1,0)</f>
        <v>0</v>
      </c>
      <c r="C50" s="479">
        <f>IF(AND(B50=1,OR(D50='Parameters'!$D$17,D50='Parameters'!$D$18,D50='Parameters'!$D$19,D50='Parameters'!$D$20,D50='Parameters'!$D$21)),1,0)</f>
        <v>0</v>
      </c>
      <c r="D50" t="s" s="480">
        <f>IF('Window &amp; Door DATA INPUT'!B56="","",'Window &amp; Door DATA INPUT'!B56)</f>
      </c>
      <c r="E50" t="s" s="480">
        <f>IF('Window &amp; Door DATA INPUT'!D56="","",'Window &amp; Door DATA INPUT'!D56)</f>
      </c>
      <c r="F50" t="s" s="480">
        <f>IF(B50=1,'Window &amp; Door DATA INPUT'!H56&amp;'RESULTS'!$H$5,"")</f>
      </c>
      <c r="G50" t="s" s="480">
        <f>IF(B50=1,VLOOKUP(F50,'Parameters'!$H$4:$I$20,2,FALSE),"")</f>
      </c>
      <c r="H50" t="s" s="480">
        <f>IF(OR('Window &amp; Door DATA INPUT'!J56='Parameters'!$K$4,'Window &amp; Door DATA INPUT'!J56='Parameters'!$K$11),"No",IF('Window &amp; Door DATA INPUT'!K56="","",'Window &amp; Door DATA INPUT'!K56))</f>
      </c>
      <c r="I50" t="s" s="480">
        <f>IF('Window &amp; Door DATA INPUT'!J56="","",'Window &amp; Door DATA INPUT'!J56)</f>
      </c>
      <c r="J50" t="s" s="480">
        <f>IF('Window &amp; Door DATA INPUT'!L56='Parameters'!$O$5,'Window &amp; Door DATA INPUT'!O56,IF(B50=1,'Window &amp; Door DATA INPUT'!N56*'Window &amp; Door DATA INPUT'!M56,""))</f>
      </c>
      <c r="K50" t="s" s="414">
        <f>IF('Window &amp; Door DATA INPUT'!J56="","",VLOOKUP('Window &amp; Door DATA INPUT'!J56,'Parameters'!$K$4:$L$16,2,FALSE))</f>
      </c>
      <c r="L50" t="s" s="480">
        <f>IF($H50="yes",IF($K50="Y",'Window &amp; Door DATA INPUT'!Q56,IF($K50="N",'Window &amp; Door DATA INPUT'!P56)),"")</f>
      </c>
      <c r="M50" t="s" s="480">
        <f>IF($H50="yes",IF($K50="Y",'Window &amp; Door DATA INPUT'!P56,IF($K50="N",'Window &amp; Door DATA INPUT'!Q56)),"")</f>
      </c>
      <c r="N50" t="s" s="480">
        <f>IF(L50="","",L50*M50)</f>
      </c>
      <c r="O50" t="s" s="414">
        <f>IF(AND(B50=1,C50=0,H50="yes"),"A",IF(AND(C50=1,H50="yes",'Window &amp; Door DATA INPUT'!R56="no"),"B",IF(AND(C50=1,H50="yes",'Window &amp; Door DATA INPUT'!R56="yes",'Window &amp; Door DATA INPUT'!S56="yes"),"C",IF(AND(C50=1,H50="yes",'Window &amp; Door DATA INPUT'!R56="yes",'Window &amp; Door DATA INPUT'!S56="no"),"D",""))))</f>
      </c>
      <c r="P50" t="s" s="414">
        <f>IF(AND(C50=1,H50="yes",OR(I50='Parameters'!$K$12,I50='Parameters'!$K$13,I50='Parameters'!$K$14)),"E",IF(AND(C50=1,H50="yes",NOT(OR(I50='Parameters'!$K$12,I50='Parameters'!$K$13,I50='Parameters'!$K$14))),"F",""))</f>
      </c>
      <c r="Q50" t="s" s="414">
        <f>IF(AND(B50=1,H50="yes"),VLOOKUP(I50,'Parameters'!$K$4:$M$16,3,FALSE),"")</f>
      </c>
      <c r="R50" t="s" s="414">
        <f>IF(AND(OR(O50="A",O50="B",O50="d"),Q50="input"),'Window &amp; Door DATA INPUT'!AA56,IF(AND(O50="C",Q50="input"),'Window &amp; Door DATA INPUT'!W56,Q50))</f>
      </c>
      <c r="S50" t="s" s="414">
        <f>IF('Window &amp; Door DATA INPUT'!X56="Yes",'Window &amp; Door DATA INPUT'!Y56/1000,IF(B50=1,"N/A",""))</f>
      </c>
      <c r="T50" t="s" s="480">
        <f>IF(Q50="calc",IF(P50="yes",'Window &amp; Door DATA INPUT'!U56/1000,('Parameters'!$S$4-'Window &amp; Door DATA INPUT'!Z56+'Parameters'!$Q$4)/1000),"")</f>
      </c>
      <c r="U50" t="s" s="480">
        <f>IF(Q50="calc",IF(T50&gt;M50,M50,T50),"")</f>
      </c>
      <c r="V50" t="s" s="480">
        <f>IF(AND(S50&gt;0,S50&lt;U50),S50,U50)</f>
      </c>
      <c r="W50" t="s" s="496">
        <f>IF(R50="calc",DEGREES(ASIN(V50/M50)),R50)</f>
      </c>
      <c r="X50" t="s" s="480">
        <f>IF(OR($H50="no",$B50=0),"",IF($I50='Parameters'!$K$15,$L50/($M50/2),$L50/$M50))</f>
      </c>
      <c r="Y50" t="s" s="480">
        <f>IF(OR($H50="no",$B50=0),"",IF($X50&lt;0.5,'Parameters'!$X$4,IF($X50&lt;1,'Parameters'!$Y$4,IF($X50&lt;2,'Parameters'!$Z$4,'Parameters'!$AA$4))))</f>
      </c>
      <c r="Z50" t="s" s="480">
        <f>IF(OR($H50="no",$B50=0),"",IF($X50&lt;0.5,'Parameters'!$X$5,IF($X50&lt;1,'Parameters'!$Y$5,IF($X50&lt;2,'Parameters'!$Z$5,'Parameters'!$AA$5))))</f>
      </c>
      <c r="AA50" t="s" s="480">
        <f>IF(OR($H50="no",$B50=0),"",IF($I50='Parameters'!$K$15,(2*($M50/2)*SIN(RADIANS($W50/2))),(2*$M50*SIN(RADIANS($W50/2)))))</f>
      </c>
      <c r="AB50" t="s" s="480">
        <f>IF(OR($H50="no",$B50=0),"",$Z50*(1-EXP(-$Y50*$W50)))</f>
      </c>
      <c r="AC50" t="s" s="480">
        <f>IF(OR($H50="no",$B50=0),"",IF($I50='Parameters'!$K$15,$AB50*$N50/2,$AB50*$N50))</f>
      </c>
      <c r="AD50" t="s" s="497">
        <f>IF(OR($H50="no",$B50=0),"",IF($I50='Parameters'!$K$15,$AC50*2/'Parameters'!$AB$4,$AC50/'Parameters'!$AB$4))</f>
      </c>
      <c r="AE50" t="s" s="487">
        <f>IF(AND(O50="B",Q50="calc"),V50,IF(AND(O50="C",Q50="calc"),'Window &amp; Door DATA INPUT'!T56/1000,""))</f>
      </c>
      <c r="AF50" t="s" s="414">
        <f>IF(AND(O50="B",Q50="input"),'Window &amp; Door DATA INPUT'!AA56,IF(AND(O50="C",Q50="input",P50="F"),'Window &amp; Door DATA INPUT'!V56,IF(AND(O50="C",P50="E"),0,IF(AND(O50="D"),0,IF(AND(B50=1,C50=0),"",(Q50))))))</f>
      </c>
      <c r="AG50" t="s" s="496">
        <f>IF(AF50="calc",DEGREES(ASIN(AE50/M50)),AF50)</f>
      </c>
      <c r="AH50" t="s" s="480">
        <f>IF(OR($H50="no",$C50=0),"",IF($I50='Parameters'!$K$15,$L50/($M50/2),$L50/$M50))</f>
      </c>
      <c r="AI50" t="s" s="480">
        <f>IF(OR($H50="no",$C50=0),"",IF($AH50&lt;0.5,'Parameters'!$X$4,IF($AH50&lt;1,'Parameters'!$Y$4,IF($AH50&lt;2,'Parameters'!$Z$4,'Parameters'!$AA$4))))</f>
      </c>
      <c r="AJ50" t="s" s="480">
        <f>IF(OR($H50="no",$C50=0),"",IF($AH50&lt;0.5,'Parameters'!$X$5,IF($AH50&lt;1,'Parameters'!$Y$5,IF($AH50&lt;2,'Parameters'!$Z$5,'Parameters'!$AA$5))))</f>
      </c>
      <c r="AK50" t="s" s="480">
        <f>IF(OR($H50="no",$C50=0),"",IF($I50='Parameters'!$K$15,(2*($M50/2)*SIN(RADIANS($AG50/2))),(2*$M50*SIN(RADIANS($AG50/2)))))</f>
      </c>
      <c r="AL50" t="s" s="480">
        <f>IF(OR($H50="no",$C50=0),"",$AJ50*(1-EXP(-$AI50*$AG50)))</f>
      </c>
      <c r="AM50" t="s" s="480">
        <f>IF(OR($H50="no",$C50=0),"",IF($I50='Parameters'!$K$15,$AL50*$N50/2,$AL50*$N50))</f>
      </c>
      <c r="AN50" t="s" s="497">
        <f>IF(OR($H50="no",$C50=0),"",IF($I50='Parameters'!$K$15,$AM50*2/'Parameters'!$AB$4,$AM50/'Parameters'!$AB$4))</f>
      </c>
      <c r="AO50" s="510"/>
      <c r="AP50" s="441"/>
      <c r="AQ50" s="441"/>
      <c r="AR50" s="441"/>
      <c r="AS50" s="441"/>
      <c r="AT50" s="441"/>
      <c r="AU50" s="441"/>
      <c r="AV50" s="441"/>
      <c r="AW50" s="441"/>
      <c r="AX50" s="441"/>
      <c r="AY50" s="441"/>
      <c r="AZ50" s="441"/>
      <c r="BA50" s="441"/>
      <c r="BB50" s="441"/>
      <c r="BC50" s="441"/>
      <c r="BD50" s="441"/>
      <c r="BE50" s="441"/>
      <c r="BF50" s="441"/>
      <c r="BG50" s="441"/>
      <c r="BH50" s="441"/>
      <c r="BI50" s="441"/>
      <c r="BJ50" s="441"/>
      <c r="BK50" s="441"/>
      <c r="BL50" s="441"/>
    </row>
    <row r="51" ht="16" customHeight="1">
      <c r="A51" s="470"/>
      <c r="B51" s="479">
        <f>IF('Window &amp; Door DATA INPUT'!B57&gt;1,1,0)</f>
        <v>0</v>
      </c>
      <c r="C51" s="479">
        <f>IF(AND(B51=1,OR(D51='Parameters'!$D$17,D51='Parameters'!$D$18,D51='Parameters'!$D$19,D51='Parameters'!$D$20,D51='Parameters'!$D$21)),1,0)</f>
        <v>0</v>
      </c>
      <c r="D51" t="s" s="480">
        <f>IF('Window &amp; Door DATA INPUT'!B57="","",'Window &amp; Door DATA INPUT'!B57)</f>
      </c>
      <c r="E51" t="s" s="480">
        <f>IF('Window &amp; Door DATA INPUT'!D57="","",'Window &amp; Door DATA INPUT'!D57)</f>
      </c>
      <c r="F51" t="s" s="480">
        <f>IF(B51=1,'Window &amp; Door DATA INPUT'!H57&amp;'RESULTS'!$H$5,"")</f>
      </c>
      <c r="G51" t="s" s="480">
        <f>IF(B51=1,VLOOKUP(F51,'Parameters'!$H$4:$I$20,2,FALSE),"")</f>
      </c>
      <c r="H51" t="s" s="480">
        <f>IF(OR('Window &amp; Door DATA INPUT'!J57='Parameters'!$K$4,'Window &amp; Door DATA INPUT'!J57='Parameters'!$K$11),"No",IF('Window &amp; Door DATA INPUT'!K57="","",'Window &amp; Door DATA INPUT'!K57))</f>
      </c>
      <c r="I51" t="s" s="480">
        <f>IF('Window &amp; Door DATA INPUT'!J57="","",'Window &amp; Door DATA INPUT'!J57)</f>
      </c>
      <c r="J51" t="s" s="480">
        <f>IF('Window &amp; Door DATA INPUT'!L57='Parameters'!$O$5,'Window &amp; Door DATA INPUT'!O57,IF(B51=1,'Window &amp; Door DATA INPUT'!N57*'Window &amp; Door DATA INPUT'!M57,""))</f>
      </c>
      <c r="K51" t="s" s="414">
        <f>IF('Window &amp; Door DATA INPUT'!J57="","",VLOOKUP('Window &amp; Door DATA INPUT'!J57,'Parameters'!$K$4:$L$16,2,FALSE))</f>
      </c>
      <c r="L51" t="s" s="480">
        <f>IF($H51="yes",IF($K51="Y",'Window &amp; Door DATA INPUT'!Q57,IF($K51="N",'Window &amp; Door DATA INPUT'!P57)),"")</f>
      </c>
      <c r="M51" t="s" s="480">
        <f>IF($H51="yes",IF($K51="Y",'Window &amp; Door DATA INPUT'!P57,IF($K51="N",'Window &amp; Door DATA INPUT'!Q57)),"")</f>
      </c>
      <c r="N51" t="s" s="480">
        <f>IF(L51="","",L51*M51)</f>
      </c>
      <c r="O51" t="s" s="414">
        <f>IF(AND(B51=1,C51=0,H51="yes"),"A",IF(AND(C51=1,H51="yes",'Window &amp; Door DATA INPUT'!R57="no"),"B",IF(AND(C51=1,H51="yes",'Window &amp; Door DATA INPUT'!R57="yes",'Window &amp; Door DATA INPUT'!S57="yes"),"C",IF(AND(C51=1,H51="yes",'Window &amp; Door DATA INPUT'!R57="yes",'Window &amp; Door DATA INPUT'!S57="no"),"D",""))))</f>
      </c>
      <c r="P51" t="s" s="414">
        <f>IF(AND(C51=1,H51="yes",OR(I51='Parameters'!$K$12,I51='Parameters'!$K$13,I51='Parameters'!$K$14)),"E",IF(AND(C51=1,H51="yes",NOT(OR(I51='Parameters'!$K$12,I51='Parameters'!$K$13,I51='Parameters'!$K$14))),"F",""))</f>
      </c>
      <c r="Q51" t="s" s="414">
        <f>IF(AND(B51=1,H51="yes"),VLOOKUP(I51,'Parameters'!$K$4:$M$16,3,FALSE),"")</f>
      </c>
      <c r="R51" t="s" s="414">
        <f>IF(AND(OR(O51="A",O51="B",O51="d"),Q51="input"),'Window &amp; Door DATA INPUT'!AA57,IF(AND(O51="C",Q51="input"),'Window &amp; Door DATA INPUT'!W57,Q51))</f>
      </c>
      <c r="S51" t="s" s="414">
        <f>IF('Window &amp; Door DATA INPUT'!X57="Yes",'Window &amp; Door DATA INPUT'!Y57/1000,IF(B51=1,"N/A",""))</f>
      </c>
      <c r="T51" t="s" s="480">
        <f>IF(Q51="calc",IF(P51="yes",'Window &amp; Door DATA INPUT'!U57/1000,('Parameters'!$S$4-'Window &amp; Door DATA INPUT'!Z57+'Parameters'!$Q$4)/1000),"")</f>
      </c>
      <c r="U51" t="s" s="480">
        <f>IF(Q51="calc",IF(T51&gt;M51,M51,T51),"")</f>
      </c>
      <c r="V51" t="s" s="480">
        <f>IF(AND(S51&gt;0,S51&lt;U51),S51,U51)</f>
      </c>
      <c r="W51" t="s" s="496">
        <f>IF(R51="calc",DEGREES(ASIN(V51/M51)),R51)</f>
      </c>
      <c r="X51" t="s" s="480">
        <f>IF(OR($H51="no",$B51=0),"",IF($I51='Parameters'!$K$15,$L51/($M51/2),$L51/$M51))</f>
      </c>
      <c r="Y51" t="s" s="480">
        <f>IF(OR($H51="no",$B51=0),"",IF($X51&lt;0.5,'Parameters'!$X$4,IF($X51&lt;1,'Parameters'!$Y$4,IF($X51&lt;2,'Parameters'!$Z$4,'Parameters'!$AA$4))))</f>
      </c>
      <c r="Z51" t="s" s="480">
        <f>IF(OR($H51="no",$B51=0),"",IF($X51&lt;0.5,'Parameters'!$X$5,IF($X51&lt;1,'Parameters'!$Y$5,IF($X51&lt;2,'Parameters'!$Z$5,'Parameters'!$AA$5))))</f>
      </c>
      <c r="AA51" t="s" s="480">
        <f>IF(OR($H51="no",$B51=0),"",IF($I51='Parameters'!$K$15,(2*($M51/2)*SIN(RADIANS($W51/2))),(2*$M51*SIN(RADIANS($W51/2)))))</f>
      </c>
      <c r="AB51" t="s" s="480">
        <f>IF(OR($H51="no",$B51=0),"",$Z51*(1-EXP(-$Y51*$W51)))</f>
      </c>
      <c r="AC51" t="s" s="480">
        <f>IF(OR($H51="no",$B51=0),"",IF($I51='Parameters'!$K$15,$AB51*$N51/2,$AB51*$N51))</f>
      </c>
      <c r="AD51" t="s" s="497">
        <f>IF(OR($H51="no",$B51=0),"",IF($I51='Parameters'!$K$15,$AC51*2/'Parameters'!$AB$4,$AC51/'Parameters'!$AB$4))</f>
      </c>
      <c r="AE51" t="s" s="487">
        <f>IF(AND(O51="B",Q51="calc"),V51,IF(AND(O51="C",Q51="calc"),'Window &amp; Door DATA INPUT'!T57/1000,""))</f>
      </c>
      <c r="AF51" t="s" s="414">
        <f>IF(AND(O51="B",Q51="input"),'Window &amp; Door DATA INPUT'!AA57,IF(AND(O51="C",Q51="input",P51="F"),'Window &amp; Door DATA INPUT'!V57,IF(AND(O51="C",P51="E"),0,IF(AND(O51="D"),0,IF(AND(B51=1,C51=0),"",(Q51))))))</f>
      </c>
      <c r="AG51" t="s" s="496">
        <f>IF(AF51="calc",DEGREES(ASIN(AE51/M51)),AF51)</f>
      </c>
      <c r="AH51" t="s" s="480">
        <f>IF(OR($H51="no",$C51=0),"",IF($I51='Parameters'!$K$15,$L51/($M51/2),$L51/$M51))</f>
      </c>
      <c r="AI51" t="s" s="480">
        <f>IF(OR($H51="no",$C51=0),"",IF($AH51&lt;0.5,'Parameters'!$X$4,IF($AH51&lt;1,'Parameters'!$Y$4,IF($AH51&lt;2,'Parameters'!$Z$4,'Parameters'!$AA$4))))</f>
      </c>
      <c r="AJ51" t="s" s="480">
        <f>IF(OR($H51="no",$C51=0),"",IF($AH51&lt;0.5,'Parameters'!$X$5,IF($AH51&lt;1,'Parameters'!$Y$5,IF($AH51&lt;2,'Parameters'!$Z$5,'Parameters'!$AA$5))))</f>
      </c>
      <c r="AK51" t="s" s="480">
        <f>IF(OR($H51="no",$C51=0),"",IF($I51='Parameters'!$K$15,(2*($M51/2)*SIN(RADIANS($AG51/2))),(2*$M51*SIN(RADIANS($AG51/2)))))</f>
      </c>
      <c r="AL51" t="s" s="480">
        <f>IF(OR($H51="no",$C51=0),"",$AJ51*(1-EXP(-$AI51*$AG51)))</f>
      </c>
      <c r="AM51" t="s" s="480">
        <f>IF(OR($H51="no",$C51=0),"",IF($I51='Parameters'!$K$15,$AL51*$N51/2,$AL51*$N51))</f>
      </c>
      <c r="AN51" t="s" s="497">
        <f>IF(OR($H51="no",$C51=0),"",IF($I51='Parameters'!$K$15,$AM51*2/'Parameters'!$AB$4,$AM51/'Parameters'!$AB$4))</f>
      </c>
      <c r="AO51" s="510"/>
      <c r="AP51" s="441"/>
      <c r="AQ51" s="441"/>
      <c r="AR51" s="441"/>
      <c r="AS51" s="441"/>
      <c r="AT51" s="441"/>
      <c r="AU51" s="441"/>
      <c r="AV51" s="441"/>
      <c r="AW51" s="441"/>
      <c r="AX51" s="441"/>
      <c r="AY51" s="441"/>
      <c r="AZ51" s="441"/>
      <c r="BA51" s="441"/>
      <c r="BB51" s="441"/>
      <c r="BC51" s="441"/>
      <c r="BD51" s="441"/>
      <c r="BE51" s="441"/>
      <c r="BF51" s="441"/>
      <c r="BG51" s="441"/>
      <c r="BH51" s="441"/>
      <c r="BI51" s="441"/>
      <c r="BJ51" s="441"/>
      <c r="BK51" s="441"/>
      <c r="BL51" s="441"/>
    </row>
    <row r="52" ht="16" customHeight="1">
      <c r="A52" s="470"/>
      <c r="B52" s="479">
        <f>IF('Window &amp; Door DATA INPUT'!B58&gt;1,1,0)</f>
        <v>0</v>
      </c>
      <c r="C52" s="479">
        <f>IF(AND(B52=1,OR(D52='Parameters'!$D$17,D52='Parameters'!$D$18,D52='Parameters'!$D$19,D52='Parameters'!$D$20,D52='Parameters'!$D$21)),1,0)</f>
        <v>0</v>
      </c>
      <c r="D52" t="s" s="480">
        <f>IF('Window &amp; Door DATA INPUT'!B58="","",'Window &amp; Door DATA INPUT'!B58)</f>
      </c>
      <c r="E52" t="s" s="480">
        <f>IF('Window &amp; Door DATA INPUT'!D58="","",'Window &amp; Door DATA INPUT'!D58)</f>
      </c>
      <c r="F52" t="s" s="480">
        <f>IF(B52=1,'Window &amp; Door DATA INPUT'!H58&amp;'RESULTS'!$H$5,"")</f>
      </c>
      <c r="G52" t="s" s="480">
        <f>IF(B52=1,VLOOKUP(F52,'Parameters'!$H$4:$I$20,2,FALSE),"")</f>
      </c>
      <c r="H52" t="s" s="480">
        <f>IF(OR('Window &amp; Door DATA INPUT'!J58='Parameters'!$K$4,'Window &amp; Door DATA INPUT'!J58='Parameters'!$K$11),"No",IF('Window &amp; Door DATA INPUT'!K58="","",'Window &amp; Door DATA INPUT'!K58))</f>
      </c>
      <c r="I52" t="s" s="480">
        <f>IF('Window &amp; Door DATA INPUT'!J58="","",'Window &amp; Door DATA INPUT'!J58)</f>
      </c>
      <c r="J52" t="s" s="480">
        <f>IF('Window &amp; Door DATA INPUT'!L58='Parameters'!$O$5,'Window &amp; Door DATA INPUT'!O58,IF(B52=1,'Window &amp; Door DATA INPUT'!N58*'Window &amp; Door DATA INPUT'!M58,""))</f>
      </c>
      <c r="K52" t="s" s="414">
        <f>IF('Window &amp; Door DATA INPUT'!J58="","",VLOOKUP('Window &amp; Door DATA INPUT'!J58,'Parameters'!$K$4:$L$16,2,FALSE))</f>
      </c>
      <c r="L52" t="s" s="480">
        <f>IF($H52="yes",IF($K52="Y",'Window &amp; Door DATA INPUT'!Q58,IF($K52="N",'Window &amp; Door DATA INPUT'!P58)),"")</f>
      </c>
      <c r="M52" t="s" s="480">
        <f>IF($H52="yes",IF($K52="Y",'Window &amp; Door DATA INPUT'!P58,IF($K52="N",'Window &amp; Door DATA INPUT'!Q58)),"")</f>
      </c>
      <c r="N52" t="s" s="480">
        <f>IF(L52="","",L52*M52)</f>
      </c>
      <c r="O52" t="s" s="414">
        <f>IF(AND(B52=1,C52=0,H52="yes"),"A",IF(AND(C52=1,H52="yes",'Window &amp; Door DATA INPUT'!R58="no"),"B",IF(AND(C52=1,H52="yes",'Window &amp; Door DATA INPUT'!R58="yes",'Window &amp; Door DATA INPUT'!S58="yes"),"C",IF(AND(C52=1,H52="yes",'Window &amp; Door DATA INPUT'!R58="yes",'Window &amp; Door DATA INPUT'!S58="no"),"D",""))))</f>
      </c>
      <c r="P52" t="s" s="414">
        <f>IF(AND(C52=1,H52="yes",OR(I52='Parameters'!$K$12,I52='Parameters'!$K$13,I52='Parameters'!$K$14)),"E",IF(AND(C52=1,H52="yes",NOT(OR(I52='Parameters'!$K$12,I52='Parameters'!$K$13,I52='Parameters'!$K$14))),"F",""))</f>
      </c>
      <c r="Q52" t="s" s="414">
        <f>IF(AND(B52=1,H52="yes"),VLOOKUP(I52,'Parameters'!$K$4:$M$16,3,FALSE),"")</f>
      </c>
      <c r="R52" t="s" s="414">
        <f>IF(AND(OR(O52="A",O52="B",O52="d"),Q52="input"),'Window &amp; Door DATA INPUT'!AA58,IF(AND(O52="C",Q52="input"),'Window &amp; Door DATA INPUT'!W58,Q52))</f>
      </c>
      <c r="S52" t="s" s="414">
        <f>IF('Window &amp; Door DATA INPUT'!X58="Yes",'Window &amp; Door DATA INPUT'!Y58/1000,IF(B52=1,"N/A",""))</f>
      </c>
      <c r="T52" t="s" s="480">
        <f>IF(Q52="calc",IF(P52="yes",'Window &amp; Door DATA INPUT'!U58/1000,('Parameters'!$S$4-'Window &amp; Door DATA INPUT'!Z58+'Parameters'!$Q$4)/1000),"")</f>
      </c>
      <c r="U52" t="s" s="480">
        <f>IF(Q52="calc",IF(T52&gt;M52,M52,T52),"")</f>
      </c>
      <c r="V52" t="s" s="480">
        <f>IF(AND(S52&gt;0,S52&lt;U52),S52,U52)</f>
      </c>
      <c r="W52" t="s" s="496">
        <f>IF(R52="calc",DEGREES(ASIN(V52/M52)),R52)</f>
      </c>
      <c r="X52" t="s" s="480">
        <f>IF(OR($H52="no",$B52=0),"",IF($I52='Parameters'!$K$15,$L52/($M52/2),$L52/$M52))</f>
      </c>
      <c r="Y52" t="s" s="480">
        <f>IF(OR($H52="no",$B52=0),"",IF($X52&lt;0.5,'Parameters'!$X$4,IF($X52&lt;1,'Parameters'!$Y$4,IF($X52&lt;2,'Parameters'!$Z$4,'Parameters'!$AA$4))))</f>
      </c>
      <c r="Z52" t="s" s="480">
        <f>IF(OR($H52="no",$B52=0),"",IF($X52&lt;0.5,'Parameters'!$X$5,IF($X52&lt;1,'Parameters'!$Y$5,IF($X52&lt;2,'Parameters'!$Z$5,'Parameters'!$AA$5))))</f>
      </c>
      <c r="AA52" t="s" s="480">
        <f>IF(OR($H52="no",$B52=0),"",IF($I52='Parameters'!$K$15,(2*($M52/2)*SIN(RADIANS($W52/2))),(2*$M52*SIN(RADIANS($W52/2)))))</f>
      </c>
      <c r="AB52" t="s" s="480">
        <f>IF(OR($H52="no",$B52=0),"",$Z52*(1-EXP(-$Y52*$W52)))</f>
      </c>
      <c r="AC52" t="s" s="480">
        <f>IF(OR($H52="no",$B52=0),"",IF($I52='Parameters'!$K$15,$AB52*$N52/2,$AB52*$N52))</f>
      </c>
      <c r="AD52" t="s" s="497">
        <f>IF(OR($H52="no",$B52=0),"",IF($I52='Parameters'!$K$15,$AC52*2/'Parameters'!$AB$4,$AC52/'Parameters'!$AB$4))</f>
      </c>
      <c r="AE52" t="s" s="487">
        <f>IF(AND(O52="B",Q52="calc"),V52,IF(AND(O52="C",Q52="calc"),'Window &amp; Door DATA INPUT'!T58/1000,""))</f>
      </c>
      <c r="AF52" t="s" s="414">
        <f>IF(AND(O52="B",Q52="input"),'Window &amp; Door DATA INPUT'!AA58,IF(AND(O52="C",Q52="input",P52="F"),'Window &amp; Door DATA INPUT'!V58,IF(AND(O52="C",P52="E"),0,IF(AND(O52="D"),0,IF(AND(B52=1,C52=0),"",(Q52))))))</f>
      </c>
      <c r="AG52" t="s" s="496">
        <f>IF(AF52="calc",DEGREES(ASIN(AE52/M52)),AF52)</f>
      </c>
      <c r="AH52" t="s" s="480">
        <f>IF(OR($H52="no",$C52=0),"",IF($I52='Parameters'!$K$15,$L52/($M52/2),$L52/$M52))</f>
      </c>
      <c r="AI52" t="s" s="480">
        <f>IF(OR($H52="no",$C52=0),"",IF($AH52&lt;0.5,'Parameters'!$X$4,IF($AH52&lt;1,'Parameters'!$Y$4,IF($AH52&lt;2,'Parameters'!$Z$4,'Parameters'!$AA$4))))</f>
      </c>
      <c r="AJ52" t="s" s="480">
        <f>IF(OR($H52="no",$C52=0),"",IF($AH52&lt;0.5,'Parameters'!$X$5,IF($AH52&lt;1,'Parameters'!$Y$5,IF($AH52&lt;2,'Parameters'!$Z$5,'Parameters'!$AA$5))))</f>
      </c>
      <c r="AK52" t="s" s="480">
        <f>IF(OR($H52="no",$C52=0),"",IF($I52='Parameters'!$K$15,(2*($M52/2)*SIN(RADIANS($AG52/2))),(2*$M52*SIN(RADIANS($AG52/2)))))</f>
      </c>
      <c r="AL52" t="s" s="480">
        <f>IF(OR($H52="no",$C52=0),"",$AJ52*(1-EXP(-$AI52*$AG52)))</f>
      </c>
      <c r="AM52" t="s" s="480">
        <f>IF(OR($H52="no",$C52=0),"",IF($I52='Parameters'!$K$15,$AL52*$N52/2,$AL52*$N52))</f>
      </c>
      <c r="AN52" t="s" s="497">
        <f>IF(OR($H52="no",$C52=0),"",IF($I52='Parameters'!$K$15,$AM52*2/'Parameters'!$AB$4,$AM52/'Parameters'!$AB$4))</f>
      </c>
      <c r="AO52" s="510"/>
      <c r="AP52" s="441"/>
      <c r="AQ52" s="441"/>
      <c r="AR52" s="441"/>
      <c r="AS52" s="441"/>
      <c r="AT52" s="441"/>
      <c r="AU52" s="441"/>
      <c r="AV52" s="441"/>
      <c r="AW52" s="441"/>
      <c r="AX52" s="441"/>
      <c r="AY52" s="441"/>
      <c r="AZ52" s="441"/>
      <c r="BA52" s="441"/>
      <c r="BB52" s="441"/>
      <c r="BC52" s="441"/>
      <c r="BD52" s="441"/>
      <c r="BE52" s="441"/>
      <c r="BF52" s="441"/>
      <c r="BG52" s="441"/>
      <c r="BH52" s="441"/>
      <c r="BI52" s="441"/>
      <c r="BJ52" s="441"/>
      <c r="BK52" s="441"/>
      <c r="BL52" s="441"/>
    </row>
    <row r="53" ht="16" customHeight="1">
      <c r="A53" s="470"/>
      <c r="B53" s="479">
        <f>IF('Window &amp; Door DATA INPUT'!B59&gt;1,1,0)</f>
        <v>0</v>
      </c>
      <c r="C53" s="479">
        <f>IF(AND(B53=1,OR(D53='Parameters'!$D$17,D53='Parameters'!$D$18,D53='Parameters'!$D$19,D53='Parameters'!$D$20,D53='Parameters'!$D$21)),1,0)</f>
        <v>0</v>
      </c>
      <c r="D53" t="s" s="480">
        <f>IF('Window &amp; Door DATA INPUT'!B59="","",'Window &amp; Door DATA INPUT'!B59)</f>
      </c>
      <c r="E53" t="s" s="480">
        <f>IF('Window &amp; Door DATA INPUT'!D59="","",'Window &amp; Door DATA INPUT'!D59)</f>
      </c>
      <c r="F53" t="s" s="480">
        <f>IF(B53=1,'Window &amp; Door DATA INPUT'!H59&amp;'RESULTS'!$H$5,"")</f>
      </c>
      <c r="G53" t="s" s="480">
        <f>IF(B53=1,VLOOKUP(F53,'Parameters'!$H$4:$I$20,2,FALSE),"")</f>
      </c>
      <c r="H53" t="s" s="480">
        <f>IF(OR('Window &amp; Door DATA INPUT'!J59='Parameters'!$K$4,'Window &amp; Door DATA INPUT'!J59='Parameters'!$K$11),"No",IF('Window &amp; Door DATA INPUT'!K59="","",'Window &amp; Door DATA INPUT'!K59))</f>
      </c>
      <c r="I53" t="s" s="480">
        <f>IF('Window &amp; Door DATA INPUT'!J59="","",'Window &amp; Door DATA INPUT'!J59)</f>
      </c>
      <c r="J53" t="s" s="480">
        <f>IF('Window &amp; Door DATA INPUT'!L59='Parameters'!$O$5,'Window &amp; Door DATA INPUT'!O59,IF(B53=1,'Window &amp; Door DATA INPUT'!N59*'Window &amp; Door DATA INPUT'!M59,""))</f>
      </c>
      <c r="K53" t="s" s="414">
        <f>IF('Window &amp; Door DATA INPUT'!J59="","",VLOOKUP('Window &amp; Door DATA INPUT'!J59,'Parameters'!$K$4:$L$16,2,FALSE))</f>
      </c>
      <c r="L53" t="s" s="480">
        <f>IF($H53="yes",IF($K53="Y",'Window &amp; Door DATA INPUT'!Q59,IF($K53="N",'Window &amp; Door DATA INPUT'!P59)),"")</f>
      </c>
      <c r="M53" t="s" s="480">
        <f>IF($H53="yes",IF($K53="Y",'Window &amp; Door DATA INPUT'!P59,IF($K53="N",'Window &amp; Door DATA INPUT'!Q59)),"")</f>
      </c>
      <c r="N53" t="s" s="480">
        <f>IF(L53="","",L53*M53)</f>
      </c>
      <c r="O53" t="s" s="414">
        <f>IF(AND(B53=1,C53=0,H53="yes"),"A",IF(AND(C53=1,H53="yes",'Window &amp; Door DATA INPUT'!R59="no"),"B",IF(AND(C53=1,H53="yes",'Window &amp; Door DATA INPUT'!R59="yes",'Window &amp; Door DATA INPUT'!S59="yes"),"C",IF(AND(C53=1,H53="yes",'Window &amp; Door DATA INPUT'!R59="yes",'Window &amp; Door DATA INPUT'!S59="no"),"D",""))))</f>
      </c>
      <c r="P53" t="s" s="414">
        <f>IF(AND(C53=1,H53="yes",OR(I53='Parameters'!$K$12,I53='Parameters'!$K$13,I53='Parameters'!$K$14)),"E",IF(AND(C53=1,H53="yes",NOT(OR(I53='Parameters'!$K$12,I53='Parameters'!$K$13,I53='Parameters'!$K$14))),"F",""))</f>
      </c>
      <c r="Q53" t="s" s="414">
        <f>IF(AND(B53=1,H53="yes"),VLOOKUP(I53,'Parameters'!$K$4:$M$16,3,FALSE),"")</f>
      </c>
      <c r="R53" t="s" s="414">
        <f>IF(AND(OR(O53="A",O53="B",O53="d"),Q53="input"),'Window &amp; Door DATA INPUT'!AA59,IF(AND(O53="C",Q53="input"),'Window &amp; Door DATA INPUT'!W59,Q53))</f>
      </c>
      <c r="S53" t="s" s="414">
        <f>IF('Window &amp; Door DATA INPUT'!X59="Yes",'Window &amp; Door DATA INPUT'!Y59/1000,IF(B53=1,"N/A",""))</f>
      </c>
      <c r="T53" t="s" s="480">
        <f>IF(Q53="calc",IF(P53="yes",'Window &amp; Door DATA INPUT'!U59/1000,('Parameters'!$S$4-'Window &amp; Door DATA INPUT'!Z59+'Parameters'!$Q$4)/1000),"")</f>
      </c>
      <c r="U53" t="s" s="480">
        <f>IF(Q53="calc",IF(T53&gt;M53,M53,T53),"")</f>
      </c>
      <c r="V53" t="s" s="480">
        <f>IF(AND(S53&gt;0,S53&lt;U53),S53,U53)</f>
      </c>
      <c r="W53" t="s" s="496">
        <f>IF(R53="calc",DEGREES(ASIN(V53/M53)),R53)</f>
      </c>
      <c r="X53" t="s" s="480">
        <f>IF(OR($H53="no",$B53=0),"",IF($I53='Parameters'!$K$15,$L53/($M53/2),$L53/$M53))</f>
      </c>
      <c r="Y53" t="s" s="480">
        <f>IF(OR($H53="no",$B53=0),"",IF($X53&lt;0.5,'Parameters'!$X$4,IF($X53&lt;1,'Parameters'!$Y$4,IF($X53&lt;2,'Parameters'!$Z$4,'Parameters'!$AA$4))))</f>
      </c>
      <c r="Z53" t="s" s="480">
        <f>IF(OR($H53="no",$B53=0),"",IF($X53&lt;0.5,'Parameters'!$X$5,IF($X53&lt;1,'Parameters'!$Y$5,IF($X53&lt;2,'Parameters'!$Z$5,'Parameters'!$AA$5))))</f>
      </c>
      <c r="AA53" t="s" s="480">
        <f>IF(OR($H53="no",$B53=0),"",IF($I53='Parameters'!$K$15,(2*($M53/2)*SIN(RADIANS($W53/2))),(2*$M53*SIN(RADIANS($W53/2)))))</f>
      </c>
      <c r="AB53" t="s" s="480">
        <f>IF(OR($H53="no",$B53=0),"",$Z53*(1-EXP(-$Y53*$W53)))</f>
      </c>
      <c r="AC53" t="s" s="480">
        <f>IF(OR($H53="no",$B53=0),"",IF($I53='Parameters'!$K$15,$AB53*$N53/2,$AB53*$N53))</f>
      </c>
      <c r="AD53" t="s" s="497">
        <f>IF(OR($H53="no",$B53=0),"",IF($I53='Parameters'!$K$15,$AC53*2/'Parameters'!$AB$4,$AC53/'Parameters'!$AB$4))</f>
      </c>
      <c r="AE53" t="s" s="487">
        <f>IF(AND(O53="B",Q53="calc"),V53,IF(AND(O53="C",Q53="calc"),'Window &amp; Door DATA INPUT'!T59/1000,""))</f>
      </c>
      <c r="AF53" t="s" s="414">
        <f>IF(AND(O53="B",Q53="input"),'Window &amp; Door DATA INPUT'!AA59,IF(AND(O53="C",Q53="input",P53="F"),'Window &amp; Door DATA INPUT'!V59,IF(AND(O53="C",P53="E"),0,IF(AND(O53="D"),0,IF(AND(B53=1,C53=0),"",(Q53))))))</f>
      </c>
      <c r="AG53" t="s" s="496">
        <f>IF(AF53="calc",DEGREES(ASIN(AE53/M53)),AF53)</f>
      </c>
      <c r="AH53" t="s" s="480">
        <f>IF(OR($H53="no",$C53=0),"",IF($I53='Parameters'!$K$15,$L53/($M53/2),$L53/$M53))</f>
      </c>
      <c r="AI53" t="s" s="480">
        <f>IF(OR($H53="no",$C53=0),"",IF($AH53&lt;0.5,'Parameters'!$X$4,IF($AH53&lt;1,'Parameters'!$Y$4,IF($AH53&lt;2,'Parameters'!$Z$4,'Parameters'!$AA$4))))</f>
      </c>
      <c r="AJ53" t="s" s="480">
        <f>IF(OR($H53="no",$C53=0),"",IF($AH53&lt;0.5,'Parameters'!$X$5,IF($AH53&lt;1,'Parameters'!$Y$5,IF($AH53&lt;2,'Parameters'!$Z$5,'Parameters'!$AA$5))))</f>
      </c>
      <c r="AK53" t="s" s="480">
        <f>IF(OR($H53="no",$C53=0),"",IF($I53='Parameters'!$K$15,(2*($M53/2)*SIN(RADIANS($AG53/2))),(2*$M53*SIN(RADIANS($AG53/2)))))</f>
      </c>
      <c r="AL53" t="s" s="480">
        <f>IF(OR($H53="no",$C53=0),"",$AJ53*(1-EXP(-$AI53*$AG53)))</f>
      </c>
      <c r="AM53" t="s" s="480">
        <f>IF(OR($H53="no",$C53=0),"",IF($I53='Parameters'!$K$15,$AL53*$N53/2,$AL53*$N53))</f>
      </c>
      <c r="AN53" t="s" s="497">
        <f>IF(OR($H53="no",$C53=0),"",IF($I53='Parameters'!$K$15,$AM53*2/'Parameters'!$AB$4,$AM53/'Parameters'!$AB$4))</f>
      </c>
      <c r="AO53" s="510"/>
      <c r="AP53" s="441"/>
      <c r="AQ53" s="441"/>
      <c r="AR53" s="441"/>
      <c r="AS53" s="441"/>
      <c r="AT53" s="441"/>
      <c r="AU53" s="441"/>
      <c r="AV53" s="441"/>
      <c r="AW53" s="441"/>
      <c r="AX53" s="441"/>
      <c r="AY53" s="441"/>
      <c r="AZ53" s="441"/>
      <c r="BA53" s="441"/>
      <c r="BB53" s="441"/>
      <c r="BC53" s="441"/>
      <c r="BD53" s="441"/>
      <c r="BE53" s="441"/>
      <c r="BF53" s="441"/>
      <c r="BG53" s="441"/>
      <c r="BH53" s="441"/>
      <c r="BI53" s="441"/>
      <c r="BJ53" s="441"/>
      <c r="BK53" s="441"/>
      <c r="BL53" s="441"/>
    </row>
    <row r="54" ht="16" customHeight="1">
      <c r="A54" s="470"/>
      <c r="B54" s="479">
        <f>IF('Window &amp; Door DATA INPUT'!B60&gt;1,1,0)</f>
        <v>0</v>
      </c>
      <c r="C54" s="479">
        <f>IF(AND(B54=1,OR(D54='Parameters'!$D$17,D54='Parameters'!$D$18,D54='Parameters'!$D$19,D54='Parameters'!$D$20,D54='Parameters'!$D$21)),1,0)</f>
        <v>0</v>
      </c>
      <c r="D54" t="s" s="480">
        <f>IF('Window &amp; Door DATA INPUT'!B60="","",'Window &amp; Door DATA INPUT'!B60)</f>
      </c>
      <c r="E54" t="s" s="480">
        <f>IF('Window &amp; Door DATA INPUT'!D60="","",'Window &amp; Door DATA INPUT'!D60)</f>
      </c>
      <c r="F54" t="s" s="480">
        <f>IF(B54=1,'Window &amp; Door DATA INPUT'!H60&amp;'RESULTS'!$H$5,"")</f>
      </c>
      <c r="G54" t="s" s="480">
        <f>IF(B54=1,VLOOKUP(F54,'Parameters'!$H$4:$I$20,2,FALSE),"")</f>
      </c>
      <c r="H54" t="s" s="480">
        <f>IF(OR('Window &amp; Door DATA INPUT'!J60='Parameters'!$K$4,'Window &amp; Door DATA INPUT'!J60='Parameters'!$K$11),"No",IF('Window &amp; Door DATA INPUT'!K60="","",'Window &amp; Door DATA INPUT'!K60))</f>
      </c>
      <c r="I54" t="s" s="480">
        <f>IF('Window &amp; Door DATA INPUT'!J60="","",'Window &amp; Door DATA INPUT'!J60)</f>
      </c>
      <c r="J54" t="s" s="480">
        <f>IF('Window &amp; Door DATA INPUT'!L60='Parameters'!$O$5,'Window &amp; Door DATA INPUT'!O60,IF(B54=1,'Window &amp; Door DATA INPUT'!N60*'Window &amp; Door DATA INPUT'!M60,""))</f>
      </c>
      <c r="K54" t="s" s="414">
        <f>IF('Window &amp; Door DATA INPUT'!J60="","",VLOOKUP('Window &amp; Door DATA INPUT'!J60,'Parameters'!$K$4:$L$16,2,FALSE))</f>
      </c>
      <c r="L54" t="s" s="480">
        <f>IF($H54="yes",IF($K54="Y",'Window &amp; Door DATA INPUT'!Q60,IF($K54="N",'Window &amp; Door DATA INPUT'!P60)),"")</f>
      </c>
      <c r="M54" t="s" s="480">
        <f>IF($H54="yes",IF($K54="Y",'Window &amp; Door DATA INPUT'!P60,IF($K54="N",'Window &amp; Door DATA INPUT'!Q60)),"")</f>
      </c>
      <c r="N54" t="s" s="480">
        <f>IF(L54="","",L54*M54)</f>
      </c>
      <c r="O54" t="s" s="414">
        <f>IF(AND(B54=1,C54=0,H54="yes"),"A",IF(AND(C54=1,H54="yes",'Window &amp; Door DATA INPUT'!R60="no"),"B",IF(AND(C54=1,H54="yes",'Window &amp; Door DATA INPUT'!R60="yes",'Window &amp; Door DATA INPUT'!S60="yes"),"C",IF(AND(C54=1,H54="yes",'Window &amp; Door DATA INPUT'!R60="yes",'Window &amp; Door DATA INPUT'!S60="no"),"D",""))))</f>
      </c>
      <c r="P54" t="s" s="414">
        <f>IF(AND(C54=1,H54="yes",OR(I54='Parameters'!$K$12,I54='Parameters'!$K$13,I54='Parameters'!$K$14)),"E",IF(AND(C54=1,H54="yes",NOT(OR(I54='Parameters'!$K$12,I54='Parameters'!$K$13,I54='Parameters'!$K$14))),"F",""))</f>
      </c>
      <c r="Q54" t="s" s="414">
        <f>IF(AND(B54=1,H54="yes"),VLOOKUP(I54,'Parameters'!$K$4:$M$16,3,FALSE),"")</f>
      </c>
      <c r="R54" t="s" s="414">
        <f>IF(AND(OR(O54="A",O54="B",O54="d"),Q54="input"),'Window &amp; Door DATA INPUT'!AA60,IF(AND(O54="C",Q54="input"),'Window &amp; Door DATA INPUT'!W60,Q54))</f>
      </c>
      <c r="S54" t="s" s="414">
        <f>IF('Window &amp; Door DATA INPUT'!X60="Yes",'Window &amp; Door DATA INPUT'!Y60/1000,IF(B54=1,"N/A",""))</f>
      </c>
      <c r="T54" t="s" s="480">
        <f>IF(Q54="calc",IF(P54="yes",'Window &amp; Door DATA INPUT'!U60/1000,('Parameters'!$S$4-'Window &amp; Door DATA INPUT'!Z60+'Parameters'!$Q$4)/1000),"")</f>
      </c>
      <c r="U54" t="s" s="480">
        <f>IF(Q54="calc",IF(T54&gt;M54,M54,T54),"")</f>
      </c>
      <c r="V54" t="s" s="480">
        <f>IF(AND(S54&gt;0,S54&lt;U54),S54,U54)</f>
      </c>
      <c r="W54" t="s" s="496">
        <f>IF(R54="calc",DEGREES(ASIN(V54/M54)),R54)</f>
      </c>
      <c r="X54" t="s" s="480">
        <f>IF(OR($H54="no",$B54=0),"",IF($I54='Parameters'!$K$15,$L54/($M54/2),$L54/$M54))</f>
      </c>
      <c r="Y54" t="s" s="480">
        <f>IF(OR($H54="no",$B54=0),"",IF($X54&lt;0.5,'Parameters'!$X$4,IF($X54&lt;1,'Parameters'!$Y$4,IF($X54&lt;2,'Parameters'!$Z$4,'Parameters'!$AA$4))))</f>
      </c>
      <c r="Z54" t="s" s="480">
        <f>IF(OR($H54="no",$B54=0),"",IF($X54&lt;0.5,'Parameters'!$X$5,IF($X54&lt;1,'Parameters'!$Y$5,IF($X54&lt;2,'Parameters'!$Z$5,'Parameters'!$AA$5))))</f>
      </c>
      <c r="AA54" t="s" s="480">
        <f>IF(OR($H54="no",$B54=0),"",IF($I54='Parameters'!$K$15,(2*($M54/2)*SIN(RADIANS($W54/2))),(2*$M54*SIN(RADIANS($W54/2)))))</f>
      </c>
      <c r="AB54" t="s" s="480">
        <f>IF(OR($H54="no",$B54=0),"",$Z54*(1-EXP(-$Y54*$W54)))</f>
      </c>
      <c r="AC54" t="s" s="480">
        <f>IF(OR($H54="no",$B54=0),"",IF($I54='Parameters'!$K$15,$AB54*$N54/2,$AB54*$N54))</f>
      </c>
      <c r="AD54" t="s" s="497">
        <f>IF(OR($H54="no",$B54=0),"",IF($I54='Parameters'!$K$15,$AC54*2/'Parameters'!$AB$4,$AC54/'Parameters'!$AB$4))</f>
      </c>
      <c r="AE54" t="s" s="487">
        <f>IF(AND(O54="B",Q54="calc"),V54,IF(AND(O54="C",Q54="calc"),'Window &amp; Door DATA INPUT'!T60/1000,""))</f>
      </c>
      <c r="AF54" t="s" s="414">
        <f>IF(AND(O54="B",Q54="input"),'Window &amp; Door DATA INPUT'!AA60,IF(AND(O54="C",Q54="input",P54="F"),'Window &amp; Door DATA INPUT'!V60,IF(AND(O54="C",P54="E"),0,IF(AND(O54="D"),0,IF(AND(B54=1,C54=0),"",(Q54))))))</f>
      </c>
      <c r="AG54" t="s" s="496">
        <f>IF(AF54="calc",DEGREES(ASIN(AE54/M54)),AF54)</f>
      </c>
      <c r="AH54" t="s" s="480">
        <f>IF(OR($H54="no",$C54=0),"",IF($I54='Parameters'!$K$15,$L54/($M54/2),$L54/$M54))</f>
      </c>
      <c r="AI54" t="s" s="480">
        <f>IF(OR($H54="no",$C54=0),"",IF($AH54&lt;0.5,'Parameters'!$X$4,IF($AH54&lt;1,'Parameters'!$Y$4,IF($AH54&lt;2,'Parameters'!$Z$4,'Parameters'!$AA$4))))</f>
      </c>
      <c r="AJ54" t="s" s="480">
        <f>IF(OR($H54="no",$C54=0),"",IF($AH54&lt;0.5,'Parameters'!$X$5,IF($AH54&lt;1,'Parameters'!$Y$5,IF($AH54&lt;2,'Parameters'!$Z$5,'Parameters'!$AA$5))))</f>
      </c>
      <c r="AK54" t="s" s="480">
        <f>IF(OR($H54="no",$C54=0),"",IF($I54='Parameters'!$K$15,(2*($M54/2)*SIN(RADIANS($AG54/2))),(2*$M54*SIN(RADIANS($AG54/2)))))</f>
      </c>
      <c r="AL54" t="s" s="480">
        <f>IF(OR($H54="no",$C54=0),"",$AJ54*(1-EXP(-$AI54*$AG54)))</f>
      </c>
      <c r="AM54" t="s" s="480">
        <f>IF(OR($H54="no",$C54=0),"",IF($I54='Parameters'!$K$15,$AL54*$N54/2,$AL54*$N54))</f>
      </c>
      <c r="AN54" t="s" s="497">
        <f>IF(OR($H54="no",$C54=0),"",IF($I54='Parameters'!$K$15,$AM54*2/'Parameters'!$AB$4,$AM54/'Parameters'!$AB$4))</f>
      </c>
      <c r="AO54" s="510"/>
      <c r="AP54" s="441"/>
      <c r="AQ54" s="441"/>
      <c r="AR54" s="441"/>
      <c r="AS54" s="441"/>
      <c r="AT54" s="441"/>
      <c r="AU54" s="441"/>
      <c r="AV54" s="441"/>
      <c r="AW54" s="441"/>
      <c r="AX54" s="441"/>
      <c r="AY54" s="441"/>
      <c r="AZ54" s="441"/>
      <c r="BA54" s="441"/>
      <c r="BB54" s="441"/>
      <c r="BC54" s="441"/>
      <c r="BD54" s="441"/>
      <c r="BE54" s="441"/>
      <c r="BF54" s="441"/>
      <c r="BG54" s="441"/>
      <c r="BH54" s="441"/>
      <c r="BI54" s="441"/>
      <c r="BJ54" s="441"/>
      <c r="BK54" s="441"/>
      <c r="BL54" s="441"/>
    </row>
    <row r="55" ht="16" customHeight="1">
      <c r="A55" s="470"/>
      <c r="B55" s="479">
        <f>IF('Window &amp; Door DATA INPUT'!B61&gt;1,1,0)</f>
        <v>0</v>
      </c>
      <c r="C55" s="479">
        <f>IF(AND(B55=1,OR(D55='Parameters'!$D$17,D55='Parameters'!$D$18,D55='Parameters'!$D$19,D55='Parameters'!$D$20,D55='Parameters'!$D$21)),1,0)</f>
        <v>0</v>
      </c>
      <c r="D55" t="s" s="480">
        <f>IF('Window &amp; Door DATA INPUT'!B61="","",'Window &amp; Door DATA INPUT'!B61)</f>
      </c>
      <c r="E55" t="s" s="480">
        <f>IF('Window &amp; Door DATA INPUT'!D61="","",'Window &amp; Door DATA INPUT'!D61)</f>
      </c>
      <c r="F55" t="s" s="480">
        <f>IF(B55=1,'Window &amp; Door DATA INPUT'!H61&amp;'RESULTS'!$H$5,"")</f>
      </c>
      <c r="G55" t="s" s="480">
        <f>IF(B55=1,VLOOKUP(F55,'Parameters'!$H$4:$I$20,2,FALSE),"")</f>
      </c>
      <c r="H55" t="s" s="480">
        <f>IF(OR('Window &amp; Door DATA INPUT'!J61='Parameters'!$K$4,'Window &amp; Door DATA INPUT'!J61='Parameters'!$K$11),"No",IF('Window &amp; Door DATA INPUT'!K61="","",'Window &amp; Door DATA INPUT'!K61))</f>
      </c>
      <c r="I55" t="s" s="480">
        <f>IF('Window &amp; Door DATA INPUT'!J61="","",'Window &amp; Door DATA INPUT'!J61)</f>
      </c>
      <c r="J55" t="s" s="480">
        <f>IF('Window &amp; Door DATA INPUT'!L61='Parameters'!$O$5,'Window &amp; Door DATA INPUT'!O61,IF(B55=1,'Window &amp; Door DATA INPUT'!N61*'Window &amp; Door DATA INPUT'!M61,""))</f>
      </c>
      <c r="K55" t="s" s="414">
        <f>IF('Window &amp; Door DATA INPUT'!J61="","",VLOOKUP('Window &amp; Door DATA INPUT'!J61,'Parameters'!$K$4:$L$16,2,FALSE))</f>
      </c>
      <c r="L55" t="s" s="480">
        <f>IF($H55="yes",IF($K55="Y",'Window &amp; Door DATA INPUT'!Q61,IF($K55="N",'Window &amp; Door DATA INPUT'!P61)),"")</f>
      </c>
      <c r="M55" t="s" s="480">
        <f>IF($H55="yes",IF($K55="Y",'Window &amp; Door DATA INPUT'!P61,IF($K55="N",'Window &amp; Door DATA INPUT'!Q61)),"")</f>
      </c>
      <c r="N55" t="s" s="480">
        <f>IF(L55="","",L55*M55)</f>
      </c>
      <c r="O55" t="s" s="414">
        <f>IF(AND(B55=1,C55=0,H55="yes"),"A",IF(AND(C55=1,H55="yes",'Window &amp; Door DATA INPUT'!R61="no"),"B",IF(AND(C55=1,H55="yes",'Window &amp; Door DATA INPUT'!R61="yes",'Window &amp; Door DATA INPUT'!S61="yes"),"C",IF(AND(C55=1,H55="yes",'Window &amp; Door DATA INPUT'!R61="yes",'Window &amp; Door DATA INPUT'!S61="no"),"D",""))))</f>
      </c>
      <c r="P55" t="s" s="414">
        <f>IF(AND(C55=1,H55="yes",OR(I55='Parameters'!$K$12,I55='Parameters'!$K$13,I55='Parameters'!$K$14)),"E",IF(AND(C55=1,H55="yes",NOT(OR(I55='Parameters'!$K$12,I55='Parameters'!$K$13,I55='Parameters'!$K$14))),"F",""))</f>
      </c>
      <c r="Q55" t="s" s="414">
        <f>IF(AND(B55=1,H55="yes"),VLOOKUP(I55,'Parameters'!$K$4:$M$16,3,FALSE),"")</f>
      </c>
      <c r="R55" t="s" s="414">
        <f>IF(AND(OR(O55="A",O55="B",O55="d"),Q55="input"),'Window &amp; Door DATA INPUT'!AA61,IF(AND(O55="C",Q55="input"),'Window &amp; Door DATA INPUT'!W61,Q55))</f>
      </c>
      <c r="S55" t="s" s="414">
        <f>IF('Window &amp; Door DATA INPUT'!X61="Yes",'Window &amp; Door DATA INPUT'!Y61/1000,IF(B55=1,"N/A",""))</f>
      </c>
      <c r="T55" t="s" s="480">
        <f>IF(Q55="calc",IF(P55="yes",'Window &amp; Door DATA INPUT'!U61/1000,('Parameters'!$S$4-'Window &amp; Door DATA INPUT'!Z61+'Parameters'!$Q$4)/1000),"")</f>
      </c>
      <c r="U55" t="s" s="480">
        <f>IF(Q55="calc",IF(T55&gt;M55,M55,T55),"")</f>
      </c>
      <c r="V55" t="s" s="480">
        <f>IF(AND(S55&gt;0,S55&lt;U55),S55,U55)</f>
      </c>
      <c r="W55" t="s" s="496">
        <f>IF(R55="calc",DEGREES(ASIN(V55/M55)),R55)</f>
      </c>
      <c r="X55" t="s" s="480">
        <f>IF(OR($H55="no",$B55=0),"",IF($I55='Parameters'!$K$15,$L55/($M55/2),$L55/$M55))</f>
      </c>
      <c r="Y55" t="s" s="480">
        <f>IF(OR($H55="no",$B55=0),"",IF($X55&lt;0.5,'Parameters'!$X$4,IF($X55&lt;1,'Parameters'!$Y$4,IF($X55&lt;2,'Parameters'!$Z$4,'Parameters'!$AA$4))))</f>
      </c>
      <c r="Z55" t="s" s="480">
        <f>IF(OR($H55="no",$B55=0),"",IF($X55&lt;0.5,'Parameters'!$X$5,IF($X55&lt;1,'Parameters'!$Y$5,IF($X55&lt;2,'Parameters'!$Z$5,'Parameters'!$AA$5))))</f>
      </c>
      <c r="AA55" t="s" s="480">
        <f>IF(OR($H55="no",$B55=0),"",IF($I55='Parameters'!$K$15,(2*($M55/2)*SIN(RADIANS($W55/2))),(2*$M55*SIN(RADIANS($W55/2)))))</f>
      </c>
      <c r="AB55" t="s" s="480">
        <f>IF(OR($H55="no",$B55=0),"",$Z55*(1-EXP(-$Y55*$W55)))</f>
      </c>
      <c r="AC55" t="s" s="480">
        <f>IF(OR($H55="no",$B55=0),"",IF($I55='Parameters'!$K$15,$AB55*$N55/2,$AB55*$N55))</f>
      </c>
      <c r="AD55" t="s" s="497">
        <f>IF(OR($H55="no",$B55=0),"",IF($I55='Parameters'!$K$15,$AC55*2/'Parameters'!$AB$4,$AC55/'Parameters'!$AB$4))</f>
      </c>
      <c r="AE55" t="s" s="487">
        <f>IF(AND(O55="B",Q55="calc"),V55,IF(AND(O55="C",Q55="calc"),'Window &amp; Door DATA INPUT'!T61/1000,""))</f>
      </c>
      <c r="AF55" t="s" s="414">
        <f>IF(AND(O55="B",Q55="input"),'Window &amp; Door DATA INPUT'!AA61,IF(AND(O55="C",Q55="input",P55="F"),'Window &amp; Door DATA INPUT'!V61,IF(AND(O55="C",P55="E"),0,IF(AND(O55="D"),0,IF(AND(B55=1,C55=0),"",(Q55))))))</f>
      </c>
      <c r="AG55" t="s" s="496">
        <f>IF(AF55="calc",DEGREES(ASIN(AE55/M55)),AF55)</f>
      </c>
      <c r="AH55" t="s" s="480">
        <f>IF(OR($H55="no",$C55=0),"",IF($I55='Parameters'!$K$15,$L55/($M55/2),$L55/$M55))</f>
      </c>
      <c r="AI55" t="s" s="480">
        <f>IF(OR($H55="no",$C55=0),"",IF($AH55&lt;0.5,'Parameters'!$X$4,IF($AH55&lt;1,'Parameters'!$Y$4,IF($AH55&lt;2,'Parameters'!$Z$4,'Parameters'!$AA$4))))</f>
      </c>
      <c r="AJ55" t="s" s="480">
        <f>IF(OR($H55="no",$C55=0),"",IF($AH55&lt;0.5,'Parameters'!$X$5,IF($AH55&lt;1,'Parameters'!$Y$5,IF($AH55&lt;2,'Parameters'!$Z$5,'Parameters'!$AA$5))))</f>
      </c>
      <c r="AK55" t="s" s="480">
        <f>IF(OR($H55="no",$C55=0),"",IF($I55='Parameters'!$K$15,(2*($M55/2)*SIN(RADIANS($AG55/2))),(2*$M55*SIN(RADIANS($AG55/2)))))</f>
      </c>
      <c r="AL55" t="s" s="480">
        <f>IF(OR($H55="no",$C55=0),"",$AJ55*(1-EXP(-$AI55*$AG55)))</f>
      </c>
      <c r="AM55" t="s" s="480">
        <f>IF(OR($H55="no",$C55=0),"",IF($I55='Parameters'!$K$15,$AL55*$N55/2,$AL55*$N55))</f>
      </c>
      <c r="AN55" t="s" s="497">
        <f>IF(OR($H55="no",$C55=0),"",IF($I55='Parameters'!$K$15,$AM55*2/'Parameters'!$AB$4,$AM55/'Parameters'!$AB$4))</f>
      </c>
      <c r="AO55" s="510"/>
      <c r="AP55" s="441"/>
      <c r="AQ55" s="441"/>
      <c r="AR55" s="441"/>
      <c r="AS55" s="441"/>
      <c r="AT55" s="441"/>
      <c r="AU55" s="441"/>
      <c r="AV55" s="441"/>
      <c r="AW55" s="441"/>
      <c r="AX55" s="441"/>
      <c r="AY55" s="441"/>
      <c r="AZ55" s="441"/>
      <c r="BA55" s="441"/>
      <c r="BB55" s="441"/>
      <c r="BC55" s="441"/>
      <c r="BD55" s="441"/>
      <c r="BE55" s="441"/>
      <c r="BF55" s="441"/>
      <c r="BG55" s="441"/>
      <c r="BH55" s="441"/>
      <c r="BI55" s="441"/>
      <c r="BJ55" s="441"/>
      <c r="BK55" s="441"/>
      <c r="BL55" s="441"/>
    </row>
    <row r="56" ht="16" customHeight="1">
      <c r="A56" s="470"/>
      <c r="B56" s="479">
        <f>IF('Window &amp; Door DATA INPUT'!B62&gt;1,1,0)</f>
        <v>0</v>
      </c>
      <c r="C56" s="479">
        <f>IF(AND(B56=1,OR(D56='Parameters'!$D$17,D56='Parameters'!$D$18,D56='Parameters'!$D$19,D56='Parameters'!$D$20,D56='Parameters'!$D$21)),1,0)</f>
        <v>0</v>
      </c>
      <c r="D56" t="s" s="480">
        <f>IF('Window &amp; Door DATA INPUT'!B62="","",'Window &amp; Door DATA INPUT'!B62)</f>
      </c>
      <c r="E56" t="s" s="480">
        <f>IF('Window &amp; Door DATA INPUT'!D62="","",'Window &amp; Door DATA INPUT'!D62)</f>
      </c>
      <c r="F56" t="s" s="480">
        <f>IF(B56=1,'Window &amp; Door DATA INPUT'!H62&amp;'RESULTS'!$H$5,"")</f>
      </c>
      <c r="G56" t="s" s="480">
        <f>IF(B56=1,VLOOKUP(F56,'Parameters'!$H$4:$I$20,2,FALSE),"")</f>
      </c>
      <c r="H56" t="s" s="480">
        <f>IF(OR('Window &amp; Door DATA INPUT'!J62='Parameters'!$K$4,'Window &amp; Door DATA INPUT'!J62='Parameters'!$K$11),"No",IF('Window &amp; Door DATA INPUT'!K62="","",'Window &amp; Door DATA INPUT'!K62))</f>
      </c>
      <c r="I56" t="s" s="480">
        <f>IF('Window &amp; Door DATA INPUT'!J62="","",'Window &amp; Door DATA INPUT'!J62)</f>
      </c>
      <c r="J56" t="s" s="480">
        <f>IF('Window &amp; Door DATA INPUT'!L62='Parameters'!$O$5,'Window &amp; Door DATA INPUT'!O62,IF(B56=1,'Window &amp; Door DATA INPUT'!N62*'Window &amp; Door DATA INPUT'!M62,""))</f>
      </c>
      <c r="K56" t="s" s="414">
        <f>IF('Window &amp; Door DATA INPUT'!J62="","",VLOOKUP('Window &amp; Door DATA INPUT'!J62,'Parameters'!$K$4:$L$16,2,FALSE))</f>
      </c>
      <c r="L56" t="s" s="480">
        <f>IF($H56="yes",IF($K56="Y",'Window &amp; Door DATA INPUT'!Q62,IF($K56="N",'Window &amp; Door DATA INPUT'!P62)),"")</f>
      </c>
      <c r="M56" t="s" s="480">
        <f>IF($H56="yes",IF($K56="Y",'Window &amp; Door DATA INPUT'!P62,IF($K56="N",'Window &amp; Door DATA INPUT'!Q62)),"")</f>
      </c>
      <c r="N56" t="s" s="480">
        <f>IF(L56="","",L56*M56)</f>
      </c>
      <c r="O56" t="s" s="414">
        <f>IF(AND(B56=1,C56=0,H56="yes"),"A",IF(AND(C56=1,H56="yes",'Window &amp; Door DATA INPUT'!R62="no"),"B",IF(AND(C56=1,H56="yes",'Window &amp; Door DATA INPUT'!R62="yes",'Window &amp; Door DATA INPUT'!S62="yes"),"C",IF(AND(C56=1,H56="yes",'Window &amp; Door DATA INPUT'!R62="yes",'Window &amp; Door DATA INPUT'!S62="no"),"D",""))))</f>
      </c>
      <c r="P56" t="s" s="414">
        <f>IF(AND(C56=1,H56="yes",OR(I56='Parameters'!$K$12,I56='Parameters'!$K$13,I56='Parameters'!$K$14)),"E",IF(AND(C56=1,H56="yes",NOT(OR(I56='Parameters'!$K$12,I56='Parameters'!$K$13,I56='Parameters'!$K$14))),"F",""))</f>
      </c>
      <c r="Q56" t="s" s="414">
        <f>IF(AND(B56=1,H56="yes"),VLOOKUP(I56,'Parameters'!$K$4:$M$16,3,FALSE),"")</f>
      </c>
      <c r="R56" t="s" s="414">
        <f>IF(AND(OR(O56="A",O56="B",O56="d"),Q56="input"),'Window &amp; Door DATA INPUT'!AA62,IF(AND(O56="C",Q56="input"),'Window &amp; Door DATA INPUT'!W62,Q56))</f>
      </c>
      <c r="S56" t="s" s="414">
        <f>IF('Window &amp; Door DATA INPUT'!X62="Yes",'Window &amp; Door DATA INPUT'!Y62/1000,IF(B56=1,"N/A",""))</f>
      </c>
      <c r="T56" t="s" s="480">
        <f>IF(Q56="calc",IF(P56="yes",'Window &amp; Door DATA INPUT'!U62/1000,('Parameters'!$S$4-'Window &amp; Door DATA INPUT'!Z62+'Parameters'!$Q$4)/1000),"")</f>
      </c>
      <c r="U56" t="s" s="480">
        <f>IF(Q56="calc",IF(T56&gt;M56,M56,T56),"")</f>
      </c>
      <c r="V56" t="s" s="480">
        <f>IF(AND(S56&gt;0,S56&lt;U56),S56,U56)</f>
      </c>
      <c r="W56" t="s" s="496">
        <f>IF(R56="calc",DEGREES(ASIN(V56/M56)),R56)</f>
      </c>
      <c r="X56" t="s" s="480">
        <f>IF(OR($H56="no",$B56=0),"",IF($I56='Parameters'!$K$15,$L56/($M56/2),$L56/$M56))</f>
      </c>
      <c r="Y56" t="s" s="480">
        <f>IF(OR($H56="no",$B56=0),"",IF($X56&lt;0.5,'Parameters'!$X$4,IF($X56&lt;1,'Parameters'!$Y$4,IF($X56&lt;2,'Parameters'!$Z$4,'Parameters'!$AA$4))))</f>
      </c>
      <c r="Z56" t="s" s="480">
        <f>IF(OR($H56="no",$B56=0),"",IF($X56&lt;0.5,'Parameters'!$X$5,IF($X56&lt;1,'Parameters'!$Y$5,IF($X56&lt;2,'Parameters'!$Z$5,'Parameters'!$AA$5))))</f>
      </c>
      <c r="AA56" t="s" s="480">
        <f>IF(OR($H56="no",$B56=0),"",IF($I56='Parameters'!$K$15,(2*($M56/2)*SIN(RADIANS($W56/2))),(2*$M56*SIN(RADIANS($W56/2)))))</f>
      </c>
      <c r="AB56" t="s" s="480">
        <f>IF(OR($H56="no",$B56=0),"",$Z56*(1-EXP(-$Y56*$W56)))</f>
      </c>
      <c r="AC56" t="s" s="480">
        <f>IF(OR($H56="no",$B56=0),"",IF($I56='Parameters'!$K$15,$AB56*$N56/2,$AB56*$N56))</f>
      </c>
      <c r="AD56" t="s" s="497">
        <f>IF(OR($H56="no",$B56=0),"",IF($I56='Parameters'!$K$15,$AC56*2/'Parameters'!$AB$4,$AC56/'Parameters'!$AB$4))</f>
      </c>
      <c r="AE56" t="s" s="487">
        <f>IF(AND(O56="B",Q56="calc"),V56,IF(AND(O56="C",Q56="calc"),'Window &amp; Door DATA INPUT'!T62/1000,""))</f>
      </c>
      <c r="AF56" t="s" s="414">
        <f>IF(AND(O56="B",Q56="input"),'Window &amp; Door DATA INPUT'!AA62,IF(AND(O56="C",Q56="input",P56="F"),'Window &amp; Door DATA INPUT'!V62,IF(AND(O56="C",P56="E"),0,IF(AND(O56="D"),0,IF(AND(B56=1,C56=0),"",(Q56))))))</f>
      </c>
      <c r="AG56" t="s" s="496">
        <f>IF(AF56="calc",DEGREES(ASIN(AE56/M56)),AF56)</f>
      </c>
      <c r="AH56" t="s" s="480">
        <f>IF(OR($H56="no",$C56=0),"",IF($I56='Parameters'!$K$15,$L56/($M56/2),$L56/$M56))</f>
      </c>
      <c r="AI56" t="s" s="480">
        <f>IF(OR($H56="no",$C56=0),"",IF($AH56&lt;0.5,'Parameters'!$X$4,IF($AH56&lt;1,'Parameters'!$Y$4,IF($AH56&lt;2,'Parameters'!$Z$4,'Parameters'!$AA$4))))</f>
      </c>
      <c r="AJ56" t="s" s="480">
        <f>IF(OR($H56="no",$C56=0),"",IF($AH56&lt;0.5,'Parameters'!$X$5,IF($AH56&lt;1,'Parameters'!$Y$5,IF($AH56&lt;2,'Parameters'!$Z$5,'Parameters'!$AA$5))))</f>
      </c>
      <c r="AK56" t="s" s="480">
        <f>IF(OR($H56="no",$C56=0),"",IF($I56='Parameters'!$K$15,(2*($M56/2)*SIN(RADIANS($AG56/2))),(2*$M56*SIN(RADIANS($AG56/2)))))</f>
      </c>
      <c r="AL56" t="s" s="480">
        <f>IF(OR($H56="no",$C56=0),"",$AJ56*(1-EXP(-$AI56*$AG56)))</f>
      </c>
      <c r="AM56" t="s" s="480">
        <f>IF(OR($H56="no",$C56=0),"",IF($I56='Parameters'!$K$15,$AL56*$N56/2,$AL56*$N56))</f>
      </c>
      <c r="AN56" t="s" s="497">
        <f>IF(OR($H56="no",$C56=0),"",IF($I56='Parameters'!$K$15,$AM56*2/'Parameters'!$AB$4,$AM56/'Parameters'!$AB$4))</f>
      </c>
      <c r="AO56" s="510"/>
      <c r="AP56" s="441"/>
      <c r="AQ56" s="441"/>
      <c r="AR56" s="441"/>
      <c r="AS56" s="441"/>
      <c r="AT56" s="441"/>
      <c r="AU56" s="441"/>
      <c r="AV56" s="441"/>
      <c r="AW56" s="441"/>
      <c r="AX56" s="441"/>
      <c r="AY56" s="441"/>
      <c r="AZ56" s="441"/>
      <c r="BA56" s="441"/>
      <c r="BB56" s="441"/>
      <c r="BC56" s="441"/>
      <c r="BD56" s="441"/>
      <c r="BE56" s="441"/>
      <c r="BF56" s="441"/>
      <c r="BG56" s="441"/>
      <c r="BH56" s="441"/>
      <c r="BI56" s="441"/>
      <c r="BJ56" s="441"/>
      <c r="BK56" s="441"/>
      <c r="BL56" s="441"/>
    </row>
    <row r="57" ht="16" customHeight="1">
      <c r="A57" s="470"/>
      <c r="B57" s="479">
        <f>IF('Window &amp; Door DATA INPUT'!B63&gt;1,1,0)</f>
        <v>0</v>
      </c>
      <c r="C57" s="479">
        <f>IF(AND(B57=1,OR(D57='Parameters'!$D$17,D57='Parameters'!$D$18,D57='Parameters'!$D$19,D57='Parameters'!$D$20,D57='Parameters'!$D$21)),1,0)</f>
        <v>0</v>
      </c>
      <c r="D57" t="s" s="480">
        <f>IF('Window &amp; Door DATA INPUT'!B63="","",'Window &amp; Door DATA INPUT'!B63)</f>
      </c>
      <c r="E57" t="s" s="480">
        <f>IF('Window &amp; Door DATA INPUT'!D63="","",'Window &amp; Door DATA INPUT'!D63)</f>
      </c>
      <c r="F57" t="s" s="480">
        <f>IF(B57=1,'Window &amp; Door DATA INPUT'!H63&amp;'RESULTS'!$H$5,"")</f>
      </c>
      <c r="G57" t="s" s="480">
        <f>IF(B57=1,VLOOKUP(F57,'Parameters'!$H$4:$I$20,2,FALSE),"")</f>
      </c>
      <c r="H57" t="s" s="480">
        <f>IF(OR('Window &amp; Door DATA INPUT'!J63='Parameters'!$K$4,'Window &amp; Door DATA INPUT'!J63='Parameters'!$K$11),"No",IF('Window &amp; Door DATA INPUT'!K63="","",'Window &amp; Door DATA INPUT'!K63))</f>
      </c>
      <c r="I57" t="s" s="480">
        <f>IF('Window &amp; Door DATA INPUT'!J63="","",'Window &amp; Door DATA INPUT'!J63)</f>
      </c>
      <c r="J57" t="s" s="480">
        <f>IF('Window &amp; Door DATA INPUT'!L63='Parameters'!$O$5,'Window &amp; Door DATA INPUT'!O63,IF(B57=1,'Window &amp; Door DATA INPUT'!N63*'Window &amp; Door DATA INPUT'!M63,""))</f>
      </c>
      <c r="K57" t="s" s="414">
        <f>IF('Window &amp; Door DATA INPUT'!J63="","",VLOOKUP('Window &amp; Door DATA INPUT'!J63,'Parameters'!$K$4:$L$16,2,FALSE))</f>
      </c>
      <c r="L57" t="s" s="480">
        <f>IF($H57="yes",IF($K57="Y",'Window &amp; Door DATA INPUT'!Q63,IF($K57="N",'Window &amp; Door DATA INPUT'!P63)),"")</f>
      </c>
      <c r="M57" t="s" s="480">
        <f>IF($H57="yes",IF($K57="Y",'Window &amp; Door DATA INPUT'!P63,IF($K57="N",'Window &amp; Door DATA INPUT'!Q63)),"")</f>
      </c>
      <c r="N57" t="s" s="480">
        <f>IF(L57="","",L57*M57)</f>
      </c>
      <c r="O57" t="s" s="414">
        <f>IF(AND(B57=1,C57=0,H57="yes"),"A",IF(AND(C57=1,H57="yes",'Window &amp; Door DATA INPUT'!R63="no"),"B",IF(AND(C57=1,H57="yes",'Window &amp; Door DATA INPUT'!R63="yes",'Window &amp; Door DATA INPUT'!S63="yes"),"C",IF(AND(C57=1,H57="yes",'Window &amp; Door DATA INPUT'!R63="yes",'Window &amp; Door DATA INPUT'!S63="no"),"D",""))))</f>
      </c>
      <c r="P57" t="s" s="414">
        <f>IF(AND(C57=1,H57="yes",OR(I57='Parameters'!$K$12,I57='Parameters'!$K$13,I57='Parameters'!$K$14)),"E",IF(AND(C57=1,H57="yes",NOT(OR(I57='Parameters'!$K$12,I57='Parameters'!$K$13,I57='Parameters'!$K$14))),"F",""))</f>
      </c>
      <c r="Q57" t="s" s="414">
        <f>IF(AND(B57=1,H57="yes"),VLOOKUP(I57,'Parameters'!$K$4:$M$16,3,FALSE),"")</f>
      </c>
      <c r="R57" t="s" s="414">
        <f>IF(AND(OR(O57="A",O57="B",O57="d"),Q57="input"),'Window &amp; Door DATA INPUT'!AA63,IF(AND(O57="C",Q57="input"),'Window &amp; Door DATA INPUT'!W63,Q57))</f>
      </c>
      <c r="S57" t="s" s="414">
        <f>IF('Window &amp; Door DATA INPUT'!X63="Yes",'Window &amp; Door DATA INPUT'!Y63/1000,IF(B57=1,"N/A",""))</f>
      </c>
      <c r="T57" t="s" s="480">
        <f>IF(Q57="calc",IF(P57="yes",'Window &amp; Door DATA INPUT'!U63/1000,('Parameters'!$S$4-'Window &amp; Door DATA INPUT'!Z63+'Parameters'!$Q$4)/1000),"")</f>
      </c>
      <c r="U57" t="s" s="480">
        <f>IF(Q57="calc",IF(T57&gt;M57,M57,T57),"")</f>
      </c>
      <c r="V57" t="s" s="480">
        <f>IF(AND(S57&gt;0,S57&lt;U57),S57,U57)</f>
      </c>
      <c r="W57" t="s" s="496">
        <f>IF(R57="calc",DEGREES(ASIN(V57/M57)),R57)</f>
      </c>
      <c r="X57" t="s" s="480">
        <f>IF(OR($H57="no",$B57=0),"",IF($I57='Parameters'!$K$15,$L57/($M57/2),$L57/$M57))</f>
      </c>
      <c r="Y57" t="s" s="480">
        <f>IF(OR($H57="no",$B57=0),"",IF($X57&lt;0.5,'Parameters'!$X$4,IF($X57&lt;1,'Parameters'!$Y$4,IF($X57&lt;2,'Parameters'!$Z$4,'Parameters'!$AA$4))))</f>
      </c>
      <c r="Z57" t="s" s="480">
        <f>IF(OR($H57="no",$B57=0),"",IF($X57&lt;0.5,'Parameters'!$X$5,IF($X57&lt;1,'Parameters'!$Y$5,IF($X57&lt;2,'Parameters'!$Z$5,'Parameters'!$AA$5))))</f>
      </c>
      <c r="AA57" t="s" s="480">
        <f>IF(OR($H57="no",$B57=0),"",IF($I57='Parameters'!$K$15,(2*($M57/2)*SIN(RADIANS($W57/2))),(2*$M57*SIN(RADIANS($W57/2)))))</f>
      </c>
      <c r="AB57" t="s" s="480">
        <f>IF(OR($H57="no",$B57=0),"",$Z57*(1-EXP(-$Y57*$W57)))</f>
      </c>
      <c r="AC57" t="s" s="480">
        <f>IF(OR($H57="no",$B57=0),"",IF($I57='Parameters'!$K$15,$AB57*$N57/2,$AB57*$N57))</f>
      </c>
      <c r="AD57" t="s" s="497">
        <f>IF(OR($H57="no",$B57=0),"",IF($I57='Parameters'!$K$15,$AC57*2/'Parameters'!$AB$4,$AC57/'Parameters'!$AB$4))</f>
      </c>
      <c r="AE57" t="s" s="487">
        <f>IF(AND(O57="B",Q57="calc"),V57,IF(AND(O57="C",Q57="calc"),'Window &amp; Door DATA INPUT'!T63/1000,""))</f>
      </c>
      <c r="AF57" t="s" s="414">
        <f>IF(AND(O57="B",Q57="input"),'Window &amp; Door DATA INPUT'!AA63,IF(AND(O57="C",Q57="input",P57="F"),'Window &amp; Door DATA INPUT'!V63,IF(AND(O57="C",P57="E"),0,IF(AND(O57="D"),0,IF(AND(B57=1,C57=0),"",(Q57))))))</f>
      </c>
      <c r="AG57" t="s" s="496">
        <f>IF(AF57="calc",DEGREES(ASIN(AE57/M57)),AF57)</f>
      </c>
      <c r="AH57" t="s" s="480">
        <f>IF(OR($H57="no",$C57=0),"",IF($I57='Parameters'!$K$15,$L57/($M57/2),$L57/$M57))</f>
      </c>
      <c r="AI57" t="s" s="480">
        <f>IF(OR($H57="no",$C57=0),"",IF($AH57&lt;0.5,'Parameters'!$X$4,IF($AH57&lt;1,'Parameters'!$Y$4,IF($AH57&lt;2,'Parameters'!$Z$4,'Parameters'!$AA$4))))</f>
      </c>
      <c r="AJ57" t="s" s="480">
        <f>IF(OR($H57="no",$C57=0),"",IF($AH57&lt;0.5,'Parameters'!$X$5,IF($AH57&lt;1,'Parameters'!$Y$5,IF($AH57&lt;2,'Parameters'!$Z$5,'Parameters'!$AA$5))))</f>
      </c>
      <c r="AK57" t="s" s="480">
        <f>IF(OR($H57="no",$C57=0),"",IF($I57='Parameters'!$K$15,(2*($M57/2)*SIN(RADIANS($AG57/2))),(2*$M57*SIN(RADIANS($AG57/2)))))</f>
      </c>
      <c r="AL57" t="s" s="480">
        <f>IF(OR($H57="no",$C57=0),"",$AJ57*(1-EXP(-$AI57*$AG57)))</f>
      </c>
      <c r="AM57" t="s" s="480">
        <f>IF(OR($H57="no",$C57=0),"",IF($I57='Parameters'!$K$15,$AL57*$N57/2,$AL57*$N57))</f>
      </c>
      <c r="AN57" t="s" s="497">
        <f>IF(OR($H57="no",$C57=0),"",IF($I57='Parameters'!$K$15,$AM57*2/'Parameters'!$AB$4,$AM57/'Parameters'!$AB$4))</f>
      </c>
      <c r="AO57" s="510"/>
      <c r="AP57" s="441"/>
      <c r="AQ57" s="441"/>
      <c r="AR57" s="441"/>
      <c r="AS57" s="441"/>
      <c r="AT57" s="441"/>
      <c r="AU57" s="441"/>
      <c r="AV57" s="441"/>
      <c r="AW57" s="441"/>
      <c r="AX57" s="441"/>
      <c r="AY57" s="441"/>
      <c r="AZ57" s="441"/>
      <c r="BA57" s="441"/>
      <c r="BB57" s="441"/>
      <c r="BC57" s="441"/>
      <c r="BD57" s="441"/>
      <c r="BE57" s="441"/>
      <c r="BF57" s="441"/>
      <c r="BG57" s="441"/>
      <c r="BH57" s="441"/>
      <c r="BI57" s="441"/>
      <c r="BJ57" s="441"/>
      <c r="BK57" s="441"/>
      <c r="BL57" s="441"/>
    </row>
    <row r="58" ht="16" customHeight="1">
      <c r="A58" s="470"/>
      <c r="B58" s="479">
        <f>IF('Window &amp; Door DATA INPUT'!B64&gt;1,1,0)</f>
        <v>0</v>
      </c>
      <c r="C58" s="479">
        <f>IF(AND(B58=1,OR(D58='Parameters'!$D$17,D58='Parameters'!$D$18,D58='Parameters'!$D$19,D58='Parameters'!$D$20,D58='Parameters'!$D$21)),1,0)</f>
        <v>0</v>
      </c>
      <c r="D58" t="s" s="480">
        <f>IF('Window &amp; Door DATA INPUT'!B64="","",'Window &amp; Door DATA INPUT'!B64)</f>
      </c>
      <c r="E58" t="s" s="480">
        <f>IF('Window &amp; Door DATA INPUT'!D64="","",'Window &amp; Door DATA INPUT'!D64)</f>
      </c>
      <c r="F58" t="s" s="480">
        <f>IF(B58=1,'Window &amp; Door DATA INPUT'!H64&amp;'RESULTS'!$H$5,"")</f>
      </c>
      <c r="G58" t="s" s="480">
        <f>IF(B58=1,VLOOKUP(F58,'Parameters'!$H$4:$I$20,2,FALSE),"")</f>
      </c>
      <c r="H58" t="s" s="480">
        <f>IF(OR('Window &amp; Door DATA INPUT'!J64='Parameters'!$K$4,'Window &amp; Door DATA INPUT'!J64='Parameters'!$K$11),"No",IF('Window &amp; Door DATA INPUT'!K64="","",'Window &amp; Door DATA INPUT'!K64))</f>
      </c>
      <c r="I58" t="s" s="480">
        <f>IF('Window &amp; Door DATA INPUT'!J64="","",'Window &amp; Door DATA INPUT'!J64)</f>
      </c>
      <c r="J58" t="s" s="480">
        <f>IF('Window &amp; Door DATA INPUT'!L64='Parameters'!$O$5,'Window &amp; Door DATA INPUT'!O64,IF(B58=1,'Window &amp; Door DATA INPUT'!N64*'Window &amp; Door DATA INPUT'!M64,""))</f>
      </c>
      <c r="K58" t="s" s="414">
        <f>IF('Window &amp; Door DATA INPUT'!J64="","",VLOOKUP('Window &amp; Door DATA INPUT'!J64,'Parameters'!$K$4:$L$16,2,FALSE))</f>
      </c>
      <c r="L58" t="s" s="480">
        <f>IF($H58="yes",IF($K58="Y",'Window &amp; Door DATA INPUT'!Q64,IF($K58="N",'Window &amp; Door DATA INPUT'!P64)),"")</f>
      </c>
      <c r="M58" t="s" s="480">
        <f>IF($H58="yes",IF($K58="Y",'Window &amp; Door DATA INPUT'!P64,IF($K58="N",'Window &amp; Door DATA INPUT'!Q64)),"")</f>
      </c>
      <c r="N58" t="s" s="480">
        <f>IF(L58="","",L58*M58)</f>
      </c>
      <c r="O58" t="s" s="414">
        <f>IF(AND(B58=1,C58=0,H58="yes"),"A",IF(AND(C58=1,H58="yes",'Window &amp; Door DATA INPUT'!R64="no"),"B",IF(AND(C58=1,H58="yes",'Window &amp; Door DATA INPUT'!R64="yes",'Window &amp; Door DATA INPUT'!S64="yes"),"C",IF(AND(C58=1,H58="yes",'Window &amp; Door DATA INPUT'!R64="yes",'Window &amp; Door DATA INPUT'!S64="no"),"D",""))))</f>
      </c>
      <c r="P58" t="s" s="414">
        <f>IF(AND(C58=1,H58="yes",OR(I58='Parameters'!$K$12,I58='Parameters'!$K$13,I58='Parameters'!$K$14)),"E",IF(AND(C58=1,H58="yes",NOT(OR(I58='Parameters'!$K$12,I58='Parameters'!$K$13,I58='Parameters'!$K$14))),"F",""))</f>
      </c>
      <c r="Q58" t="s" s="414">
        <f>IF(AND(B58=1,H58="yes"),VLOOKUP(I58,'Parameters'!$K$4:$M$16,3,FALSE),"")</f>
      </c>
      <c r="R58" t="s" s="414">
        <f>IF(AND(OR(O58="A",O58="B",O58="d"),Q58="input"),'Window &amp; Door DATA INPUT'!AA64,IF(AND(O58="C",Q58="input"),'Window &amp; Door DATA INPUT'!W64,Q58))</f>
      </c>
      <c r="S58" t="s" s="414">
        <f>IF('Window &amp; Door DATA INPUT'!X64="Yes",'Window &amp; Door DATA INPUT'!Y64/1000,IF(B58=1,"N/A",""))</f>
      </c>
      <c r="T58" t="s" s="480">
        <f>IF(Q58="calc",IF(P58="yes",'Window &amp; Door DATA INPUT'!U64/1000,('Parameters'!$S$4-'Window &amp; Door DATA INPUT'!Z64+'Parameters'!$Q$4)/1000),"")</f>
      </c>
      <c r="U58" t="s" s="480">
        <f>IF(Q58="calc",IF(T58&gt;M58,M58,T58),"")</f>
      </c>
      <c r="V58" t="s" s="480">
        <f>IF(AND(S58&gt;0,S58&lt;U58),S58,U58)</f>
      </c>
      <c r="W58" t="s" s="496">
        <f>IF(R58="calc",DEGREES(ASIN(V58/M58)),R58)</f>
      </c>
      <c r="X58" t="s" s="480">
        <f>IF(OR($H58="no",$B58=0),"",IF($I58='Parameters'!$K$15,$L58/($M58/2),$L58/$M58))</f>
      </c>
      <c r="Y58" t="s" s="480">
        <f>IF(OR($H58="no",$B58=0),"",IF($X58&lt;0.5,'Parameters'!$X$4,IF($X58&lt;1,'Parameters'!$Y$4,IF($X58&lt;2,'Parameters'!$Z$4,'Parameters'!$AA$4))))</f>
      </c>
      <c r="Z58" t="s" s="480">
        <f>IF(OR($H58="no",$B58=0),"",IF($X58&lt;0.5,'Parameters'!$X$5,IF($X58&lt;1,'Parameters'!$Y$5,IF($X58&lt;2,'Parameters'!$Z$5,'Parameters'!$AA$5))))</f>
      </c>
      <c r="AA58" t="s" s="480">
        <f>IF(OR($H58="no",$B58=0),"",IF($I58='Parameters'!$K$15,(2*($M58/2)*SIN(RADIANS($W58/2))),(2*$M58*SIN(RADIANS($W58/2)))))</f>
      </c>
      <c r="AB58" t="s" s="480">
        <f>IF(OR($H58="no",$B58=0),"",$Z58*(1-EXP(-$Y58*$W58)))</f>
      </c>
      <c r="AC58" t="s" s="480">
        <f>IF(OR($H58="no",$B58=0),"",IF($I58='Parameters'!$K$15,$AB58*$N58/2,$AB58*$N58))</f>
      </c>
      <c r="AD58" t="s" s="497">
        <f>IF(OR($H58="no",$B58=0),"",IF($I58='Parameters'!$K$15,$AC58*2/'Parameters'!$AB$4,$AC58/'Parameters'!$AB$4))</f>
      </c>
      <c r="AE58" t="s" s="487">
        <f>IF(AND(O58="B",Q58="calc"),V58,IF(AND(O58="C",Q58="calc"),'Window &amp; Door DATA INPUT'!T64/1000,""))</f>
      </c>
      <c r="AF58" t="s" s="414">
        <f>IF(AND(O58="B",Q58="input"),'Window &amp; Door DATA INPUT'!AA64,IF(AND(O58="C",Q58="input",P58="F"),'Window &amp; Door DATA INPUT'!V64,IF(AND(O58="C",P58="E"),0,IF(AND(O58="D"),0,IF(AND(B58=1,C58=0),"",(Q58))))))</f>
      </c>
      <c r="AG58" t="s" s="496">
        <f>IF(AF58="calc",DEGREES(ASIN(AE58/M58)),AF58)</f>
      </c>
      <c r="AH58" t="s" s="480">
        <f>IF(OR($H58="no",$C58=0),"",IF($I58='Parameters'!$K$15,$L58/($M58/2),$L58/$M58))</f>
      </c>
      <c r="AI58" t="s" s="480">
        <f>IF(OR($H58="no",$C58=0),"",IF($AH58&lt;0.5,'Parameters'!$X$4,IF($AH58&lt;1,'Parameters'!$Y$4,IF($AH58&lt;2,'Parameters'!$Z$4,'Parameters'!$AA$4))))</f>
      </c>
      <c r="AJ58" t="s" s="480">
        <f>IF(OR($H58="no",$C58=0),"",IF($AH58&lt;0.5,'Parameters'!$X$5,IF($AH58&lt;1,'Parameters'!$Y$5,IF($AH58&lt;2,'Parameters'!$Z$5,'Parameters'!$AA$5))))</f>
      </c>
      <c r="AK58" t="s" s="480">
        <f>IF(OR($H58="no",$C58=0),"",IF($I58='Parameters'!$K$15,(2*($M58/2)*SIN(RADIANS($AG58/2))),(2*$M58*SIN(RADIANS($AG58/2)))))</f>
      </c>
      <c r="AL58" t="s" s="480">
        <f>IF(OR($H58="no",$C58=0),"",$AJ58*(1-EXP(-$AI58*$AG58)))</f>
      </c>
      <c r="AM58" t="s" s="480">
        <f>IF(OR($H58="no",$C58=0),"",IF($I58='Parameters'!$K$15,$AL58*$N58/2,$AL58*$N58))</f>
      </c>
      <c r="AN58" t="s" s="497">
        <f>IF(OR($H58="no",$C58=0),"",IF($I58='Parameters'!$K$15,$AM58*2/'Parameters'!$AB$4,$AM58/'Parameters'!$AB$4))</f>
      </c>
      <c r="AO58" s="510"/>
      <c r="AP58" s="441"/>
      <c r="AQ58" s="441"/>
      <c r="AR58" s="441"/>
      <c r="AS58" s="441"/>
      <c r="AT58" s="441"/>
      <c r="AU58" s="441"/>
      <c r="AV58" s="441"/>
      <c r="AW58" s="441"/>
      <c r="AX58" s="441"/>
      <c r="AY58" s="441"/>
      <c r="AZ58" s="441"/>
      <c r="BA58" s="441"/>
      <c r="BB58" s="441"/>
      <c r="BC58" s="441"/>
      <c r="BD58" s="441"/>
      <c r="BE58" s="441"/>
      <c r="BF58" s="441"/>
      <c r="BG58" s="441"/>
      <c r="BH58" s="441"/>
      <c r="BI58" s="441"/>
      <c r="BJ58" s="441"/>
      <c r="BK58" s="441"/>
      <c r="BL58" s="441"/>
    </row>
    <row r="59" ht="16" customHeight="1">
      <c r="A59" s="470"/>
      <c r="B59" s="479">
        <f>IF('Window &amp; Door DATA INPUT'!B65&gt;1,1,0)</f>
        <v>0</v>
      </c>
      <c r="C59" s="479">
        <f>IF(AND(B59=1,OR(D59='Parameters'!$D$17,D59='Parameters'!$D$18,D59='Parameters'!$D$19,D59='Parameters'!$D$20,D59='Parameters'!$D$21)),1,0)</f>
        <v>0</v>
      </c>
      <c r="D59" t="s" s="480">
        <f>IF('Window &amp; Door DATA INPUT'!B65="","",'Window &amp; Door DATA INPUT'!B65)</f>
      </c>
      <c r="E59" t="s" s="480">
        <f>IF('Window &amp; Door DATA INPUT'!D65="","",'Window &amp; Door DATA INPUT'!D65)</f>
      </c>
      <c r="F59" t="s" s="480">
        <f>IF(B59=1,'Window &amp; Door DATA INPUT'!H65&amp;'RESULTS'!$H$5,"")</f>
      </c>
      <c r="G59" t="s" s="480">
        <f>IF(B59=1,VLOOKUP(F59,'Parameters'!$H$4:$I$20,2,FALSE),"")</f>
      </c>
      <c r="H59" t="s" s="480">
        <f>IF(OR('Window &amp; Door DATA INPUT'!J65='Parameters'!$K$4,'Window &amp; Door DATA INPUT'!J65='Parameters'!$K$11),"No",IF('Window &amp; Door DATA INPUT'!K65="","",'Window &amp; Door DATA INPUT'!K65))</f>
      </c>
      <c r="I59" t="s" s="480">
        <f>IF('Window &amp; Door DATA INPUT'!J65="","",'Window &amp; Door DATA INPUT'!J65)</f>
      </c>
      <c r="J59" t="s" s="480">
        <f>IF('Window &amp; Door DATA INPUT'!L65='Parameters'!$O$5,'Window &amp; Door DATA INPUT'!O65,IF(B59=1,'Window &amp; Door DATA INPUT'!N65*'Window &amp; Door DATA INPUT'!M65,""))</f>
      </c>
      <c r="K59" t="s" s="414">
        <f>IF('Window &amp; Door DATA INPUT'!J65="","",VLOOKUP('Window &amp; Door DATA INPUT'!J65,'Parameters'!$K$4:$L$16,2,FALSE))</f>
      </c>
      <c r="L59" t="s" s="480">
        <f>IF($H59="yes",IF($K59="Y",'Window &amp; Door DATA INPUT'!Q65,IF($K59="N",'Window &amp; Door DATA INPUT'!P65)),"")</f>
      </c>
      <c r="M59" t="s" s="480">
        <f>IF($H59="yes",IF($K59="Y",'Window &amp; Door DATA INPUT'!P65,IF($K59="N",'Window &amp; Door DATA INPUT'!Q65)),"")</f>
      </c>
      <c r="N59" t="s" s="480">
        <f>IF(L59="","",L59*M59)</f>
      </c>
      <c r="O59" t="s" s="414">
        <f>IF(AND(B59=1,C59=0,H59="yes"),"A",IF(AND(C59=1,H59="yes",'Window &amp; Door DATA INPUT'!R65="no"),"B",IF(AND(C59=1,H59="yes",'Window &amp; Door DATA INPUT'!R65="yes",'Window &amp; Door DATA INPUT'!S65="yes"),"C",IF(AND(C59=1,H59="yes",'Window &amp; Door DATA INPUT'!R65="yes",'Window &amp; Door DATA INPUT'!S65="no"),"D",""))))</f>
      </c>
      <c r="P59" t="s" s="414">
        <f>IF(AND(C59=1,H59="yes",OR(I59='Parameters'!$K$12,I59='Parameters'!$K$13,I59='Parameters'!$K$14)),"E",IF(AND(C59=1,H59="yes",NOT(OR(I59='Parameters'!$K$12,I59='Parameters'!$K$13,I59='Parameters'!$K$14))),"F",""))</f>
      </c>
      <c r="Q59" t="s" s="414">
        <f>IF(AND(B59=1,H59="yes"),VLOOKUP(I59,'Parameters'!$K$4:$M$16,3,FALSE),"")</f>
      </c>
      <c r="R59" t="s" s="414">
        <f>IF(AND(OR(O59="A",O59="B",O59="d"),Q59="input"),'Window &amp; Door DATA INPUT'!AA65,IF(AND(O59="C",Q59="input"),'Window &amp; Door DATA INPUT'!W65,Q59))</f>
      </c>
      <c r="S59" t="s" s="414">
        <f>IF('Window &amp; Door DATA INPUT'!X65="Yes",'Window &amp; Door DATA INPUT'!Y65/1000,IF(B59=1,"N/A",""))</f>
      </c>
      <c r="T59" t="s" s="480">
        <f>IF(Q59="calc",IF(P59="yes",'Window &amp; Door DATA INPUT'!U65/1000,('Parameters'!$S$4-'Window &amp; Door DATA INPUT'!Z65+'Parameters'!$Q$4)/1000),"")</f>
      </c>
      <c r="U59" t="s" s="480">
        <f>IF(Q59="calc",IF(T59&gt;M59,M59,T59),"")</f>
      </c>
      <c r="V59" t="s" s="480">
        <f>IF(AND(S59&gt;0,S59&lt;U59),S59,U59)</f>
      </c>
      <c r="W59" t="s" s="496">
        <f>IF(R59="calc",DEGREES(ASIN(V59/M59)),R59)</f>
      </c>
      <c r="X59" t="s" s="480">
        <f>IF(OR($H59="no",$B59=0),"",IF($I59='Parameters'!$K$15,$L59/($M59/2),$L59/$M59))</f>
      </c>
      <c r="Y59" t="s" s="480">
        <f>IF(OR($H59="no",$B59=0),"",IF($X59&lt;0.5,'Parameters'!$X$4,IF($X59&lt;1,'Parameters'!$Y$4,IF($X59&lt;2,'Parameters'!$Z$4,'Parameters'!$AA$4))))</f>
      </c>
      <c r="Z59" t="s" s="480">
        <f>IF(OR($H59="no",$B59=0),"",IF($X59&lt;0.5,'Parameters'!$X$5,IF($X59&lt;1,'Parameters'!$Y$5,IF($X59&lt;2,'Parameters'!$Z$5,'Parameters'!$AA$5))))</f>
      </c>
      <c r="AA59" t="s" s="480">
        <f>IF(OR($H59="no",$B59=0),"",IF($I59='Parameters'!$K$15,(2*($M59/2)*SIN(RADIANS($W59/2))),(2*$M59*SIN(RADIANS($W59/2)))))</f>
      </c>
      <c r="AB59" t="s" s="480">
        <f>IF(OR($H59="no",$B59=0),"",$Z59*(1-EXP(-$Y59*$W59)))</f>
      </c>
      <c r="AC59" t="s" s="480">
        <f>IF(OR($H59="no",$B59=0),"",IF($I59='Parameters'!$K$15,$AB59*$N59/2,$AB59*$N59))</f>
      </c>
      <c r="AD59" t="s" s="497">
        <f>IF(OR($H59="no",$B59=0),"",IF($I59='Parameters'!$K$15,$AC59*2/'Parameters'!$AB$4,$AC59/'Parameters'!$AB$4))</f>
      </c>
      <c r="AE59" t="s" s="487">
        <f>IF(AND(O59="B",Q59="calc"),V59,IF(AND(O59="C",Q59="calc"),'Window &amp; Door DATA INPUT'!T65/1000,""))</f>
      </c>
      <c r="AF59" t="s" s="414">
        <f>IF(AND(O59="B",Q59="input"),'Window &amp; Door DATA INPUT'!AA65,IF(AND(O59="C",Q59="input",P59="F"),'Window &amp; Door DATA INPUT'!V65,IF(AND(O59="C",P59="E"),0,IF(AND(O59="D"),0,IF(AND(B59=1,C59=0),"",(Q59))))))</f>
      </c>
      <c r="AG59" t="s" s="496">
        <f>IF(AF59="calc",DEGREES(ASIN(AE59/M59)),AF59)</f>
      </c>
      <c r="AH59" t="s" s="480">
        <f>IF(OR($H59="no",$C59=0),"",IF($I59='Parameters'!$K$15,$L59/($M59/2),$L59/$M59))</f>
      </c>
      <c r="AI59" t="s" s="480">
        <f>IF(OR($H59="no",$C59=0),"",IF($AH59&lt;0.5,'Parameters'!$X$4,IF($AH59&lt;1,'Parameters'!$Y$4,IF($AH59&lt;2,'Parameters'!$Z$4,'Parameters'!$AA$4))))</f>
      </c>
      <c r="AJ59" t="s" s="480">
        <f>IF(OR($H59="no",$C59=0),"",IF($AH59&lt;0.5,'Parameters'!$X$5,IF($AH59&lt;1,'Parameters'!$Y$5,IF($AH59&lt;2,'Parameters'!$Z$5,'Parameters'!$AA$5))))</f>
      </c>
      <c r="AK59" t="s" s="480">
        <f>IF(OR($H59="no",$C59=0),"",IF($I59='Parameters'!$K$15,(2*($M59/2)*SIN(RADIANS($AG59/2))),(2*$M59*SIN(RADIANS($AG59/2)))))</f>
      </c>
      <c r="AL59" t="s" s="480">
        <f>IF(OR($H59="no",$C59=0),"",$AJ59*(1-EXP(-$AI59*$AG59)))</f>
      </c>
      <c r="AM59" t="s" s="480">
        <f>IF(OR($H59="no",$C59=0),"",IF($I59='Parameters'!$K$15,$AL59*$N59/2,$AL59*$N59))</f>
      </c>
      <c r="AN59" t="s" s="497">
        <f>IF(OR($H59="no",$C59=0),"",IF($I59='Parameters'!$K$15,$AM59*2/'Parameters'!$AB$4,$AM59/'Parameters'!$AB$4))</f>
      </c>
      <c r="AO59" s="510"/>
      <c r="AP59" s="441"/>
      <c r="AQ59" s="441"/>
      <c r="AR59" s="441"/>
      <c r="AS59" s="441"/>
      <c r="AT59" s="441"/>
      <c r="AU59" s="441"/>
      <c r="AV59" s="441"/>
      <c r="AW59" s="441"/>
      <c r="AX59" s="441"/>
      <c r="AY59" s="441"/>
      <c r="AZ59" s="441"/>
      <c r="BA59" s="441"/>
      <c r="BB59" s="441"/>
      <c r="BC59" s="441"/>
      <c r="BD59" s="441"/>
      <c r="BE59" s="441"/>
      <c r="BF59" s="441"/>
      <c r="BG59" s="441"/>
      <c r="BH59" s="441"/>
      <c r="BI59" s="441"/>
      <c r="BJ59" s="441"/>
      <c r="BK59" s="441"/>
      <c r="BL59" s="441"/>
    </row>
    <row r="60" ht="16" customHeight="1">
      <c r="A60" s="470"/>
      <c r="B60" s="479">
        <f>IF('Window &amp; Door DATA INPUT'!B66&gt;1,1,0)</f>
        <v>0</v>
      </c>
      <c r="C60" s="479">
        <f>IF(AND(B60=1,OR(D60='Parameters'!$D$17,D60='Parameters'!$D$18,D60='Parameters'!$D$19,D60='Parameters'!$D$20,D60='Parameters'!$D$21)),1,0)</f>
        <v>0</v>
      </c>
      <c r="D60" t="s" s="480">
        <f>IF('Window &amp; Door DATA INPUT'!B66="","",'Window &amp; Door DATA INPUT'!B66)</f>
      </c>
      <c r="E60" t="s" s="480">
        <f>IF('Window &amp; Door DATA INPUT'!D66="","",'Window &amp; Door DATA INPUT'!D66)</f>
      </c>
      <c r="F60" t="s" s="480">
        <f>IF(B60=1,'Window &amp; Door DATA INPUT'!H66&amp;'RESULTS'!$H$5,"")</f>
      </c>
      <c r="G60" t="s" s="480">
        <f>IF(B60=1,VLOOKUP(F60,'Parameters'!$H$4:$I$20,2,FALSE),"")</f>
      </c>
      <c r="H60" t="s" s="480">
        <f>IF(OR('Window &amp; Door DATA INPUT'!J66='Parameters'!$K$4,'Window &amp; Door DATA INPUT'!J66='Parameters'!$K$11),"No",IF('Window &amp; Door DATA INPUT'!K66="","",'Window &amp; Door DATA INPUT'!K66))</f>
      </c>
      <c r="I60" t="s" s="480">
        <f>IF('Window &amp; Door DATA INPUT'!J66="","",'Window &amp; Door DATA INPUT'!J66)</f>
      </c>
      <c r="J60" t="s" s="480">
        <f>IF('Window &amp; Door DATA INPUT'!L66='Parameters'!$O$5,'Window &amp; Door DATA INPUT'!O66,IF(B60=1,'Window &amp; Door DATA INPUT'!N66*'Window &amp; Door DATA INPUT'!M66,""))</f>
      </c>
      <c r="K60" t="s" s="414">
        <f>IF('Window &amp; Door DATA INPUT'!J66="","",VLOOKUP('Window &amp; Door DATA INPUT'!J66,'Parameters'!$K$4:$L$16,2,FALSE))</f>
      </c>
      <c r="L60" t="s" s="480">
        <f>IF($H60="yes",IF($K60="Y",'Window &amp; Door DATA INPUT'!Q66,IF($K60="N",'Window &amp; Door DATA INPUT'!P66)),"")</f>
      </c>
      <c r="M60" t="s" s="480">
        <f>IF($H60="yes",IF($K60="Y",'Window &amp; Door DATA INPUT'!P66,IF($K60="N",'Window &amp; Door DATA INPUT'!Q66)),"")</f>
      </c>
      <c r="N60" t="s" s="480">
        <f>IF(L60="","",L60*M60)</f>
      </c>
      <c r="O60" t="s" s="414">
        <f>IF(AND(B60=1,C60=0,H60="yes"),"A",IF(AND(C60=1,H60="yes",'Window &amp; Door DATA INPUT'!R66="no"),"B",IF(AND(C60=1,H60="yes",'Window &amp; Door DATA INPUT'!R66="yes",'Window &amp; Door DATA INPUT'!S66="yes"),"C",IF(AND(C60=1,H60="yes",'Window &amp; Door DATA INPUT'!R66="yes",'Window &amp; Door DATA INPUT'!S66="no"),"D",""))))</f>
      </c>
      <c r="P60" t="s" s="414">
        <f>IF(AND(C60=1,H60="yes",OR(I60='Parameters'!$K$12,I60='Parameters'!$K$13,I60='Parameters'!$K$14)),"E",IF(AND(C60=1,H60="yes",NOT(OR(I60='Parameters'!$K$12,I60='Parameters'!$K$13,I60='Parameters'!$K$14))),"F",""))</f>
      </c>
      <c r="Q60" t="s" s="414">
        <f>IF(AND(B60=1,H60="yes"),VLOOKUP(I60,'Parameters'!$K$4:$M$16,3,FALSE),"")</f>
      </c>
      <c r="R60" t="s" s="414">
        <f>IF(AND(OR(O60="A",O60="B",O60="d"),Q60="input"),'Window &amp; Door DATA INPUT'!AA66,IF(AND(O60="C",Q60="input"),'Window &amp; Door DATA INPUT'!W66,Q60))</f>
      </c>
      <c r="S60" t="s" s="414">
        <f>IF('Window &amp; Door DATA INPUT'!X66="Yes",'Window &amp; Door DATA INPUT'!Y66/1000,IF(B60=1,"N/A",""))</f>
      </c>
      <c r="T60" t="s" s="480">
        <f>IF(Q60="calc",IF(P60="yes",'Window &amp; Door DATA INPUT'!U66/1000,('Parameters'!$S$4-'Window &amp; Door DATA INPUT'!Z66+'Parameters'!$Q$4)/1000),"")</f>
      </c>
      <c r="U60" t="s" s="480">
        <f>IF(Q60="calc",IF(T60&gt;M60,M60,T60),"")</f>
      </c>
      <c r="V60" t="s" s="480">
        <f>IF(AND(S60&gt;0,S60&lt;U60),S60,U60)</f>
      </c>
      <c r="W60" t="s" s="496">
        <f>IF(R60="calc",DEGREES(ASIN(V60/M60)),R60)</f>
      </c>
      <c r="X60" t="s" s="480">
        <f>IF(OR($H60="no",$B60=0),"",IF($I60='Parameters'!$K$15,$L60/($M60/2),$L60/$M60))</f>
      </c>
      <c r="Y60" t="s" s="480">
        <f>IF(OR($H60="no",$B60=0),"",IF($X60&lt;0.5,'Parameters'!$X$4,IF($X60&lt;1,'Parameters'!$Y$4,IF($X60&lt;2,'Parameters'!$Z$4,'Parameters'!$AA$4))))</f>
      </c>
      <c r="Z60" t="s" s="480">
        <f>IF(OR($H60="no",$B60=0),"",IF($X60&lt;0.5,'Parameters'!$X$5,IF($X60&lt;1,'Parameters'!$Y$5,IF($X60&lt;2,'Parameters'!$Z$5,'Parameters'!$AA$5))))</f>
      </c>
      <c r="AA60" t="s" s="480">
        <f>IF(OR($H60="no",$B60=0),"",IF($I60='Parameters'!$K$15,(2*($M60/2)*SIN(RADIANS($W60/2))),(2*$M60*SIN(RADIANS($W60/2)))))</f>
      </c>
      <c r="AB60" t="s" s="480">
        <f>IF(OR($H60="no",$B60=0),"",$Z60*(1-EXP(-$Y60*$W60)))</f>
      </c>
      <c r="AC60" t="s" s="480">
        <f>IF(OR($H60="no",$B60=0),"",IF($I60='Parameters'!$K$15,$AB60*$N60/2,$AB60*$N60))</f>
      </c>
      <c r="AD60" t="s" s="497">
        <f>IF(OR($H60="no",$B60=0),"",IF($I60='Parameters'!$K$15,$AC60*2/'Parameters'!$AB$4,$AC60/'Parameters'!$AB$4))</f>
      </c>
      <c r="AE60" t="s" s="487">
        <f>IF(AND(O60="B",Q60="calc"),V60,IF(AND(O60="C",Q60="calc"),'Window &amp; Door DATA INPUT'!T66/1000,""))</f>
      </c>
      <c r="AF60" t="s" s="414">
        <f>IF(AND(O60="B",Q60="input"),'Window &amp; Door DATA INPUT'!AA66,IF(AND(O60="C",Q60="input",P60="F"),'Window &amp; Door DATA INPUT'!V66,IF(AND(O60="C",P60="E"),0,IF(AND(O60="D"),0,IF(AND(B60=1,C60=0),"",(Q60))))))</f>
      </c>
      <c r="AG60" t="s" s="496">
        <f>IF(AF60="calc",DEGREES(ASIN(AE60/M60)),AF60)</f>
      </c>
      <c r="AH60" t="s" s="480">
        <f>IF(OR($H60="no",$C60=0),"",IF($I60='Parameters'!$K$15,$L60/($M60/2),$L60/$M60))</f>
      </c>
      <c r="AI60" t="s" s="480">
        <f>IF(OR($H60="no",$C60=0),"",IF($AH60&lt;0.5,'Parameters'!$X$4,IF($AH60&lt;1,'Parameters'!$Y$4,IF($AH60&lt;2,'Parameters'!$Z$4,'Parameters'!$AA$4))))</f>
      </c>
      <c r="AJ60" t="s" s="480">
        <f>IF(OR($H60="no",$C60=0),"",IF($AH60&lt;0.5,'Parameters'!$X$5,IF($AH60&lt;1,'Parameters'!$Y$5,IF($AH60&lt;2,'Parameters'!$Z$5,'Parameters'!$AA$5))))</f>
      </c>
      <c r="AK60" t="s" s="480">
        <f>IF(OR($H60="no",$C60=0),"",IF($I60='Parameters'!$K$15,(2*($M60/2)*SIN(RADIANS($AG60/2))),(2*$M60*SIN(RADIANS($AG60/2)))))</f>
      </c>
      <c r="AL60" t="s" s="480">
        <f>IF(OR($H60="no",$C60=0),"",$AJ60*(1-EXP(-$AI60*$AG60)))</f>
      </c>
      <c r="AM60" t="s" s="480">
        <f>IF(OR($H60="no",$C60=0),"",IF($I60='Parameters'!$K$15,$AL60*$N60/2,$AL60*$N60))</f>
      </c>
      <c r="AN60" t="s" s="497">
        <f>IF(OR($H60="no",$C60=0),"",IF($I60='Parameters'!$K$15,$AM60*2/'Parameters'!$AB$4,$AM60/'Parameters'!$AB$4))</f>
      </c>
      <c r="AO60" s="510"/>
      <c r="AP60" s="441"/>
      <c r="AQ60" s="441"/>
      <c r="AR60" s="441"/>
      <c r="AS60" s="441"/>
      <c r="AT60" s="441"/>
      <c r="AU60" s="441"/>
      <c r="AV60" s="441"/>
      <c r="AW60" s="441"/>
      <c r="AX60" s="441"/>
      <c r="AY60" s="441"/>
      <c r="AZ60" s="441"/>
      <c r="BA60" s="441"/>
      <c r="BB60" s="441"/>
      <c r="BC60" s="441"/>
      <c r="BD60" s="441"/>
      <c r="BE60" s="441"/>
      <c r="BF60" s="441"/>
      <c r="BG60" s="441"/>
      <c r="BH60" s="441"/>
      <c r="BI60" s="441"/>
      <c r="BJ60" s="441"/>
      <c r="BK60" s="441"/>
      <c r="BL60" s="441"/>
    </row>
    <row r="61" ht="16" customHeight="1">
      <c r="A61" s="470"/>
      <c r="B61" s="479">
        <f>IF('Window &amp; Door DATA INPUT'!B67&gt;1,1,0)</f>
        <v>0</v>
      </c>
      <c r="C61" s="479">
        <f>IF(AND(B61=1,OR(D61='Parameters'!$D$17,D61='Parameters'!$D$18,D61='Parameters'!$D$19,D61='Parameters'!$D$20,D61='Parameters'!$D$21)),1,0)</f>
        <v>0</v>
      </c>
      <c r="D61" t="s" s="480">
        <f>IF('Window &amp; Door DATA INPUT'!B67="","",'Window &amp; Door DATA INPUT'!B67)</f>
      </c>
      <c r="E61" t="s" s="480">
        <f>IF('Window &amp; Door DATA INPUT'!D67="","",'Window &amp; Door DATA INPUT'!D67)</f>
      </c>
      <c r="F61" t="s" s="480">
        <f>IF(B61=1,'Window &amp; Door DATA INPUT'!H67&amp;'RESULTS'!$H$5,"")</f>
      </c>
      <c r="G61" t="s" s="480">
        <f>IF(B61=1,VLOOKUP(F61,'Parameters'!$H$4:$I$20,2,FALSE),"")</f>
      </c>
      <c r="H61" t="s" s="480">
        <f>IF(OR('Window &amp; Door DATA INPUT'!J67='Parameters'!$K$4,'Window &amp; Door DATA INPUT'!J67='Parameters'!$K$11),"No",IF('Window &amp; Door DATA INPUT'!K67="","",'Window &amp; Door DATA INPUT'!K67))</f>
      </c>
      <c r="I61" t="s" s="480">
        <f>IF('Window &amp; Door DATA INPUT'!J67="","",'Window &amp; Door DATA INPUT'!J67)</f>
      </c>
      <c r="J61" t="s" s="480">
        <f>IF('Window &amp; Door DATA INPUT'!L67='Parameters'!$O$5,'Window &amp; Door DATA INPUT'!O67,IF(B61=1,'Window &amp; Door DATA INPUT'!N67*'Window &amp; Door DATA INPUT'!M67,""))</f>
      </c>
      <c r="K61" t="s" s="414">
        <f>IF('Window &amp; Door DATA INPUT'!J67="","",VLOOKUP('Window &amp; Door DATA INPUT'!J67,'Parameters'!$K$4:$L$16,2,FALSE))</f>
      </c>
      <c r="L61" t="s" s="480">
        <f>IF($H61="yes",IF($K61="Y",'Window &amp; Door DATA INPUT'!Q67,IF($K61="N",'Window &amp; Door DATA INPUT'!P67)),"")</f>
      </c>
      <c r="M61" t="s" s="480">
        <f>IF($H61="yes",IF($K61="Y",'Window &amp; Door DATA INPUT'!P67,IF($K61="N",'Window &amp; Door DATA INPUT'!Q67)),"")</f>
      </c>
      <c r="N61" t="s" s="480">
        <f>IF(L61="","",L61*M61)</f>
      </c>
      <c r="O61" t="s" s="414">
        <f>IF(AND(B61=1,C61=0,H61="yes"),"A",IF(AND(C61=1,H61="yes",'Window &amp; Door DATA INPUT'!R67="no"),"B",IF(AND(C61=1,H61="yes",'Window &amp; Door DATA INPUT'!R67="yes",'Window &amp; Door DATA INPUT'!S67="yes"),"C",IF(AND(C61=1,H61="yes",'Window &amp; Door DATA INPUT'!R67="yes",'Window &amp; Door DATA INPUT'!S67="no"),"D",""))))</f>
      </c>
      <c r="P61" t="s" s="414">
        <f>IF(AND(C61=1,H61="yes",OR(I61='Parameters'!$K$12,I61='Parameters'!$K$13,I61='Parameters'!$K$14)),"E",IF(AND(C61=1,H61="yes",NOT(OR(I61='Parameters'!$K$12,I61='Parameters'!$K$13,I61='Parameters'!$K$14))),"F",""))</f>
      </c>
      <c r="Q61" t="s" s="414">
        <f>IF(AND(B61=1,H61="yes"),VLOOKUP(I61,'Parameters'!$K$4:$M$16,3,FALSE),"")</f>
      </c>
      <c r="R61" t="s" s="414">
        <f>IF(AND(OR(O61="A",O61="B",O61="d"),Q61="input"),'Window &amp; Door DATA INPUT'!AA67,IF(AND(O61="C",Q61="input"),'Window &amp; Door DATA INPUT'!W67,Q61))</f>
      </c>
      <c r="S61" t="s" s="414">
        <f>IF('Window &amp; Door DATA INPUT'!X67="Yes",'Window &amp; Door DATA INPUT'!Y67/1000,IF(B61=1,"N/A",""))</f>
      </c>
      <c r="T61" t="s" s="480">
        <f>IF(Q61="calc",IF(P61="yes",'Window &amp; Door DATA INPUT'!U67/1000,('Parameters'!$S$4-'Window &amp; Door DATA INPUT'!Z67+'Parameters'!$Q$4)/1000),"")</f>
      </c>
      <c r="U61" t="s" s="480">
        <f>IF(Q61="calc",IF(T61&gt;M61,M61,T61),"")</f>
      </c>
      <c r="V61" t="s" s="480">
        <f>IF(AND(S61&gt;0,S61&lt;U61),S61,U61)</f>
      </c>
      <c r="W61" t="s" s="496">
        <f>IF(R61="calc",DEGREES(ASIN(V61/M61)),R61)</f>
      </c>
      <c r="X61" t="s" s="480">
        <f>IF(OR($H61="no",$B61=0),"",IF($I61='Parameters'!$K$15,$L61/($M61/2),$L61/$M61))</f>
      </c>
      <c r="Y61" t="s" s="480">
        <f>IF(OR($H61="no",$B61=0),"",IF($X61&lt;0.5,'Parameters'!$X$4,IF($X61&lt;1,'Parameters'!$Y$4,IF($X61&lt;2,'Parameters'!$Z$4,'Parameters'!$AA$4))))</f>
      </c>
      <c r="Z61" t="s" s="480">
        <f>IF(OR($H61="no",$B61=0),"",IF($X61&lt;0.5,'Parameters'!$X$5,IF($X61&lt;1,'Parameters'!$Y$5,IF($X61&lt;2,'Parameters'!$Z$5,'Parameters'!$AA$5))))</f>
      </c>
      <c r="AA61" t="s" s="480">
        <f>IF(OR($H61="no",$B61=0),"",IF($I61='Parameters'!$K$15,(2*($M61/2)*SIN(RADIANS($W61/2))),(2*$M61*SIN(RADIANS($W61/2)))))</f>
      </c>
      <c r="AB61" t="s" s="480">
        <f>IF(OR($H61="no",$B61=0),"",$Z61*(1-EXP(-$Y61*$W61)))</f>
      </c>
      <c r="AC61" t="s" s="480">
        <f>IF(OR($H61="no",$B61=0),"",IF($I61='Parameters'!$K$15,$AB61*$N61/2,$AB61*$N61))</f>
      </c>
      <c r="AD61" t="s" s="497">
        <f>IF(OR($H61="no",$B61=0),"",IF($I61='Parameters'!$K$15,$AC61*2/'Parameters'!$AB$4,$AC61/'Parameters'!$AB$4))</f>
      </c>
      <c r="AE61" t="s" s="487">
        <f>IF(AND(O61="B",Q61="calc"),V61,IF(AND(O61="C",Q61="calc"),'Window &amp; Door DATA INPUT'!T67/1000,""))</f>
      </c>
      <c r="AF61" t="s" s="414">
        <f>IF(AND(O61="B",Q61="input"),'Window &amp; Door DATA INPUT'!AA67,IF(AND(O61="C",Q61="input",P61="F"),'Window &amp; Door DATA INPUT'!V67,IF(AND(O61="C",P61="E"),0,IF(AND(O61="D"),0,IF(AND(B61=1,C61=0),"",(Q61))))))</f>
      </c>
      <c r="AG61" t="s" s="496">
        <f>IF(AF61="calc",DEGREES(ASIN(AE61/M61)),AF61)</f>
      </c>
      <c r="AH61" t="s" s="480">
        <f>IF(OR($H61="no",$C61=0),"",IF($I61='Parameters'!$K$15,$L61/($M61/2),$L61/$M61))</f>
      </c>
      <c r="AI61" t="s" s="480">
        <f>IF(OR($H61="no",$C61=0),"",IF($AH61&lt;0.5,'Parameters'!$X$4,IF($AH61&lt;1,'Parameters'!$Y$4,IF($AH61&lt;2,'Parameters'!$Z$4,'Parameters'!$AA$4))))</f>
      </c>
      <c r="AJ61" t="s" s="480">
        <f>IF(OR($H61="no",$C61=0),"",IF($AH61&lt;0.5,'Parameters'!$X$5,IF($AH61&lt;1,'Parameters'!$Y$5,IF($AH61&lt;2,'Parameters'!$Z$5,'Parameters'!$AA$5))))</f>
      </c>
      <c r="AK61" t="s" s="480">
        <f>IF(OR($H61="no",$C61=0),"",IF($I61='Parameters'!$K$15,(2*($M61/2)*SIN(RADIANS($AG61/2))),(2*$M61*SIN(RADIANS($AG61/2)))))</f>
      </c>
      <c r="AL61" t="s" s="480">
        <f>IF(OR($H61="no",$C61=0),"",$AJ61*(1-EXP(-$AI61*$AG61)))</f>
      </c>
      <c r="AM61" t="s" s="480">
        <f>IF(OR($H61="no",$C61=0),"",IF($I61='Parameters'!$K$15,$AL61*$N61/2,$AL61*$N61))</f>
      </c>
      <c r="AN61" t="s" s="497">
        <f>IF(OR($H61="no",$C61=0),"",IF($I61='Parameters'!$K$15,$AM61*2/'Parameters'!$AB$4,$AM61/'Parameters'!$AB$4))</f>
      </c>
      <c r="AO61" s="510"/>
      <c r="AP61" s="441"/>
      <c r="AQ61" s="441"/>
      <c r="AR61" s="441"/>
      <c r="AS61" s="441"/>
      <c r="AT61" s="441"/>
      <c r="AU61" s="441"/>
      <c r="AV61" s="441"/>
      <c r="AW61" s="441"/>
      <c r="AX61" s="441"/>
      <c r="AY61" s="441"/>
      <c r="AZ61" s="441"/>
      <c r="BA61" s="441"/>
      <c r="BB61" s="441"/>
      <c r="BC61" s="441"/>
      <c r="BD61" s="441"/>
      <c r="BE61" s="441"/>
      <c r="BF61" s="441"/>
      <c r="BG61" s="441"/>
      <c r="BH61" s="441"/>
      <c r="BI61" s="441"/>
      <c r="BJ61" s="441"/>
      <c r="BK61" s="441"/>
      <c r="BL61" s="441"/>
    </row>
    <row r="62" ht="16" customHeight="1">
      <c r="A62" s="470"/>
      <c r="B62" s="479">
        <f>IF('Window &amp; Door DATA INPUT'!B68&gt;1,1,0)</f>
        <v>0</v>
      </c>
      <c r="C62" s="479">
        <f>IF(AND(B62=1,OR(D62='Parameters'!$D$17,D62='Parameters'!$D$18,D62='Parameters'!$D$19,D62='Parameters'!$D$20,D62='Parameters'!$D$21)),1,0)</f>
        <v>0</v>
      </c>
      <c r="D62" t="s" s="480">
        <f>IF('Window &amp; Door DATA INPUT'!B68="","",'Window &amp; Door DATA INPUT'!B68)</f>
      </c>
      <c r="E62" t="s" s="480">
        <f>IF('Window &amp; Door DATA INPUT'!D68="","",'Window &amp; Door DATA INPUT'!D68)</f>
      </c>
      <c r="F62" t="s" s="480">
        <f>IF(B62=1,'Window &amp; Door DATA INPUT'!H68&amp;'RESULTS'!$H$5,"")</f>
      </c>
      <c r="G62" t="s" s="480">
        <f>IF(B62=1,VLOOKUP(F62,'Parameters'!$H$4:$I$20,2,FALSE),"")</f>
      </c>
      <c r="H62" t="s" s="480">
        <f>IF(OR('Window &amp; Door DATA INPUT'!J68='Parameters'!$K$4,'Window &amp; Door DATA INPUT'!J68='Parameters'!$K$11),"No",IF('Window &amp; Door DATA INPUT'!K68="","",'Window &amp; Door DATA INPUT'!K68))</f>
      </c>
      <c r="I62" t="s" s="480">
        <f>IF('Window &amp; Door DATA INPUT'!J68="","",'Window &amp; Door DATA INPUT'!J68)</f>
      </c>
      <c r="J62" t="s" s="480">
        <f>IF('Window &amp; Door DATA INPUT'!L68='Parameters'!$O$5,'Window &amp; Door DATA INPUT'!O68,IF(B62=1,'Window &amp; Door DATA INPUT'!N68*'Window &amp; Door DATA INPUT'!M68,""))</f>
      </c>
      <c r="K62" t="s" s="414">
        <f>IF('Window &amp; Door DATA INPUT'!J68="","",VLOOKUP('Window &amp; Door DATA INPUT'!J68,'Parameters'!$K$4:$L$16,2,FALSE))</f>
      </c>
      <c r="L62" t="s" s="480">
        <f>IF($H62="yes",IF($K62="Y",'Window &amp; Door DATA INPUT'!Q68,IF($K62="N",'Window &amp; Door DATA INPUT'!P68)),"")</f>
      </c>
      <c r="M62" t="s" s="480">
        <f>IF($H62="yes",IF($K62="Y",'Window &amp; Door DATA INPUT'!P68,IF($K62="N",'Window &amp; Door DATA INPUT'!Q68)),"")</f>
      </c>
      <c r="N62" t="s" s="480">
        <f>IF(L62="","",L62*M62)</f>
      </c>
      <c r="O62" t="s" s="414">
        <f>IF(AND(B62=1,C62=0,H62="yes"),"A",IF(AND(C62=1,H62="yes",'Window &amp; Door DATA INPUT'!R68="no"),"B",IF(AND(C62=1,H62="yes",'Window &amp; Door DATA INPUT'!R68="yes",'Window &amp; Door DATA INPUT'!S68="yes"),"C",IF(AND(C62=1,H62="yes",'Window &amp; Door DATA INPUT'!R68="yes",'Window &amp; Door DATA INPUT'!S68="no"),"D",""))))</f>
      </c>
      <c r="P62" t="s" s="414">
        <f>IF(AND(C62=1,H62="yes",OR(I62='Parameters'!$K$12,I62='Parameters'!$K$13,I62='Parameters'!$K$14)),"E",IF(AND(C62=1,H62="yes",NOT(OR(I62='Parameters'!$K$12,I62='Parameters'!$K$13,I62='Parameters'!$K$14))),"F",""))</f>
      </c>
      <c r="Q62" t="s" s="414">
        <f>IF(AND(B62=1,H62="yes"),VLOOKUP(I62,'Parameters'!$K$4:$M$16,3,FALSE),"")</f>
      </c>
      <c r="R62" t="s" s="414">
        <f>IF(AND(OR(O62="A",O62="B",O62="d"),Q62="input"),'Window &amp; Door DATA INPUT'!AA68,IF(AND(O62="C",Q62="input"),'Window &amp; Door DATA INPUT'!W68,Q62))</f>
      </c>
      <c r="S62" t="s" s="414">
        <f>IF('Window &amp; Door DATA INPUT'!X68="Yes",'Window &amp; Door DATA INPUT'!Y68/1000,IF(B62=1,"N/A",""))</f>
      </c>
      <c r="T62" t="s" s="480">
        <f>IF(Q62="calc",IF(P62="yes",'Window &amp; Door DATA INPUT'!U68/1000,('Parameters'!$S$4-'Window &amp; Door DATA INPUT'!Z68+'Parameters'!$Q$4)/1000),"")</f>
      </c>
      <c r="U62" t="s" s="480">
        <f>IF(Q62="calc",IF(T62&gt;M62,M62,T62),"")</f>
      </c>
      <c r="V62" t="s" s="480">
        <f>IF(AND(S62&gt;0,S62&lt;U62),S62,U62)</f>
      </c>
      <c r="W62" t="s" s="496">
        <f>IF(R62="calc",DEGREES(ASIN(V62/M62)),R62)</f>
      </c>
      <c r="X62" t="s" s="480">
        <f>IF(OR($H62="no",$B62=0),"",IF($I62='Parameters'!$K$15,$L62/($M62/2),$L62/$M62))</f>
      </c>
      <c r="Y62" t="s" s="480">
        <f>IF(OR($H62="no",$B62=0),"",IF($X62&lt;0.5,'Parameters'!$X$4,IF($X62&lt;1,'Parameters'!$Y$4,IF($X62&lt;2,'Parameters'!$Z$4,'Parameters'!$AA$4))))</f>
      </c>
      <c r="Z62" t="s" s="480">
        <f>IF(OR($H62="no",$B62=0),"",IF($X62&lt;0.5,'Parameters'!$X$5,IF($X62&lt;1,'Parameters'!$Y$5,IF($X62&lt;2,'Parameters'!$Z$5,'Parameters'!$AA$5))))</f>
      </c>
      <c r="AA62" t="s" s="480">
        <f>IF(OR($H62="no",$B62=0),"",IF($I62='Parameters'!$K$15,(2*($M62/2)*SIN(RADIANS($W62/2))),(2*$M62*SIN(RADIANS($W62/2)))))</f>
      </c>
      <c r="AB62" t="s" s="480">
        <f>IF(OR($H62="no",$B62=0),"",$Z62*(1-EXP(-$Y62*$W62)))</f>
      </c>
      <c r="AC62" t="s" s="480">
        <f>IF(OR($H62="no",$B62=0),"",IF($I62='Parameters'!$K$15,$AB62*$N62/2,$AB62*$N62))</f>
      </c>
      <c r="AD62" t="s" s="497">
        <f>IF(OR($H62="no",$B62=0),"",IF($I62='Parameters'!$K$15,$AC62*2/'Parameters'!$AB$4,$AC62/'Parameters'!$AB$4))</f>
      </c>
      <c r="AE62" t="s" s="487">
        <f>IF(AND(O62="B",Q62="calc"),V62,IF(AND(O62="C",Q62="calc"),'Window &amp; Door DATA INPUT'!T68/1000,""))</f>
      </c>
      <c r="AF62" t="s" s="414">
        <f>IF(AND(O62="B",Q62="input"),'Window &amp; Door DATA INPUT'!AA68,IF(AND(O62="C",Q62="input",P62="F"),'Window &amp; Door DATA INPUT'!V68,IF(AND(O62="C",P62="E"),0,IF(AND(O62="D"),0,IF(AND(B62=1,C62=0),"",(Q62))))))</f>
      </c>
      <c r="AG62" t="s" s="496">
        <f>IF(AF62="calc",DEGREES(ASIN(AE62/M62)),AF62)</f>
      </c>
      <c r="AH62" t="s" s="480">
        <f>IF(OR($H62="no",$C62=0),"",IF($I62='Parameters'!$K$15,$L62/($M62/2),$L62/$M62))</f>
      </c>
      <c r="AI62" t="s" s="480">
        <f>IF(OR($H62="no",$C62=0),"",IF($AH62&lt;0.5,'Parameters'!$X$4,IF($AH62&lt;1,'Parameters'!$Y$4,IF($AH62&lt;2,'Parameters'!$Z$4,'Parameters'!$AA$4))))</f>
      </c>
      <c r="AJ62" t="s" s="480">
        <f>IF(OR($H62="no",$C62=0),"",IF($AH62&lt;0.5,'Parameters'!$X$5,IF($AH62&lt;1,'Parameters'!$Y$5,IF($AH62&lt;2,'Parameters'!$Z$5,'Parameters'!$AA$5))))</f>
      </c>
      <c r="AK62" t="s" s="480">
        <f>IF(OR($H62="no",$C62=0),"",IF($I62='Parameters'!$K$15,(2*($M62/2)*SIN(RADIANS($AG62/2))),(2*$M62*SIN(RADIANS($AG62/2)))))</f>
      </c>
      <c r="AL62" t="s" s="480">
        <f>IF(OR($H62="no",$C62=0),"",$AJ62*(1-EXP(-$AI62*$AG62)))</f>
      </c>
      <c r="AM62" t="s" s="480">
        <f>IF(OR($H62="no",$C62=0),"",IF($I62='Parameters'!$K$15,$AL62*$N62/2,$AL62*$N62))</f>
      </c>
      <c r="AN62" t="s" s="497">
        <f>IF(OR($H62="no",$C62=0),"",IF($I62='Parameters'!$K$15,$AM62*2/'Parameters'!$AB$4,$AM62/'Parameters'!$AB$4))</f>
      </c>
      <c r="AO62" s="510"/>
      <c r="AP62" s="441"/>
      <c r="AQ62" s="441"/>
      <c r="AR62" s="441"/>
      <c r="AS62" s="441"/>
      <c r="AT62" s="441"/>
      <c r="AU62" s="441"/>
      <c r="AV62" s="441"/>
      <c r="AW62" s="441"/>
      <c r="AX62" s="441"/>
      <c r="AY62" s="441"/>
      <c r="AZ62" s="441"/>
      <c r="BA62" s="441"/>
      <c r="BB62" s="441"/>
      <c r="BC62" s="441"/>
      <c r="BD62" s="441"/>
      <c r="BE62" s="441"/>
      <c r="BF62" s="441"/>
      <c r="BG62" s="441"/>
      <c r="BH62" s="441"/>
      <c r="BI62" s="441"/>
      <c r="BJ62" s="441"/>
      <c r="BK62" s="441"/>
      <c r="BL62" s="441"/>
    </row>
    <row r="63" ht="14.5" customHeight="1">
      <c r="A63" s="470"/>
      <c r="B63" s="479">
        <f>IF('Window &amp; Door DATA INPUT'!B69&gt;1,1,0)</f>
        <v>0</v>
      </c>
      <c r="C63" s="479">
        <f>IF(AND(B63=1,OR(D63='Parameters'!$D$17,D63='Parameters'!$D$18,D63='Parameters'!$D$19,D63='Parameters'!$D$20,D63='Parameters'!$D$21)),1,0)</f>
        <v>0</v>
      </c>
      <c r="D63" t="s" s="480">
        <f>IF('Window &amp; Door DATA INPUT'!B69="","",'Window &amp; Door DATA INPUT'!B69)</f>
      </c>
      <c r="E63" t="s" s="480">
        <f>IF('Window &amp; Door DATA INPUT'!D69="","",'Window &amp; Door DATA INPUT'!D69)</f>
      </c>
      <c r="F63" t="s" s="480">
        <f>IF(B63=1,'Window &amp; Door DATA INPUT'!H69&amp;'RESULTS'!$H$5,"")</f>
      </c>
      <c r="G63" t="s" s="480">
        <f>IF(B63=1,VLOOKUP(F63,'Parameters'!$H$4:$I$20,2,FALSE),"")</f>
      </c>
      <c r="H63" t="s" s="480">
        <f>IF(OR('Window &amp; Door DATA INPUT'!J69='Parameters'!$K$4,'Window &amp; Door DATA INPUT'!J69='Parameters'!$K$11),"No",IF('Window &amp; Door DATA INPUT'!K69="","",'Window &amp; Door DATA INPUT'!K69))</f>
      </c>
      <c r="I63" t="s" s="480">
        <f>IF('Window &amp; Door DATA INPUT'!J69="","",'Window &amp; Door DATA INPUT'!J69)</f>
      </c>
      <c r="J63" t="s" s="480">
        <f>IF('Window &amp; Door DATA INPUT'!L69='Parameters'!$O$5,'Window &amp; Door DATA INPUT'!O69,IF(B63=1,'Window &amp; Door DATA INPUT'!N69*'Window &amp; Door DATA INPUT'!M69,""))</f>
      </c>
      <c r="K63" t="s" s="414">
        <f>IF('Window &amp; Door DATA INPUT'!J69="","",VLOOKUP('Window &amp; Door DATA INPUT'!J69,'Parameters'!$K$4:$L$16,2,FALSE))</f>
      </c>
      <c r="L63" t="s" s="480">
        <f>IF($H63="yes",IF($K63="Y",'Window &amp; Door DATA INPUT'!Q69,IF($K63="N",'Window &amp; Door DATA INPUT'!P69)),"")</f>
      </c>
      <c r="M63" t="s" s="480">
        <f>IF($H63="yes",IF($K63="Y",'Window &amp; Door DATA INPUT'!P69,IF($K63="N",'Window &amp; Door DATA INPUT'!Q69)),"")</f>
      </c>
      <c r="N63" t="s" s="480">
        <f>IF(L63="","",L63*M63)</f>
      </c>
      <c r="O63" t="s" s="414">
        <f>IF(AND(B63=1,C63=0,H63="yes"),"A",IF(AND(C63=1,H63="yes",'Window &amp; Door DATA INPUT'!R69="no"),"B",IF(AND(C63=1,H63="yes",'Window &amp; Door DATA INPUT'!R69="yes",'Window &amp; Door DATA INPUT'!S69="yes"),"C",IF(AND(C63=1,H63="yes",'Window &amp; Door DATA INPUT'!R69="yes",'Window &amp; Door DATA INPUT'!S69="no"),"D",""))))</f>
      </c>
      <c r="P63" t="s" s="414">
        <f>IF(AND(C63=1,H63="yes",OR(I63='Parameters'!$K$12,I63='Parameters'!$K$13,I63='Parameters'!$K$14)),"E",IF(AND(C63=1,H63="yes",NOT(OR(I63='Parameters'!$K$12,I63='Parameters'!$K$13,I63='Parameters'!$K$14))),"F",""))</f>
      </c>
      <c r="Q63" t="s" s="414">
        <f>IF(AND(B63=1,H63="yes"),VLOOKUP(I63,'Parameters'!$K$4:$M$16,3,FALSE),"")</f>
      </c>
      <c r="R63" t="s" s="414">
        <f>IF(AND(OR(O63="A",O63="B",O63="d"),Q63="input"),'Window &amp; Door DATA INPUT'!AA69,IF(AND(O63="C",Q63="input"),'Window &amp; Door DATA INPUT'!W69,Q63))</f>
      </c>
      <c r="S63" t="s" s="414">
        <f>IF('Window &amp; Door DATA INPUT'!X69="Yes",'Window &amp; Door DATA INPUT'!Y69/1000,IF(B63=1,"N/A",""))</f>
      </c>
      <c r="T63" t="s" s="480">
        <f>IF(Q63="calc",IF(P63="yes",'Window &amp; Door DATA INPUT'!U69/1000,('Parameters'!$S$4-'Window &amp; Door DATA INPUT'!Z69+'Parameters'!$Q$4)/1000),"")</f>
      </c>
      <c r="U63" t="s" s="480">
        <f>IF(Q63="calc",IF(T63&gt;M63,M63,T63),"")</f>
      </c>
      <c r="V63" t="s" s="480">
        <f>IF(AND(S63&gt;0,S63&lt;U63),S63,U63)</f>
      </c>
      <c r="W63" t="s" s="496">
        <f>IF(R63="calc",DEGREES(ASIN(V63/M63)),R63)</f>
      </c>
      <c r="X63" t="s" s="480">
        <f>IF(OR($H63="no",$B63=0),"",IF($I63='Parameters'!$K$15,$L63/($M63/2),$L63/$M63))</f>
      </c>
      <c r="Y63" t="s" s="480">
        <f>IF(OR($H63="no",$B63=0),"",IF($X63&lt;0.5,'Parameters'!$X$4,IF($X63&lt;1,'Parameters'!$Y$4,IF($X63&lt;2,'Parameters'!$Z$4,'Parameters'!$AA$4))))</f>
      </c>
      <c r="Z63" t="s" s="480">
        <f>IF(OR($H63="no",$B63=0),"",IF($X63&lt;0.5,'Parameters'!$X$5,IF($X63&lt;1,'Parameters'!$Y$5,IF($X63&lt;2,'Parameters'!$Z$5,'Parameters'!$AA$5))))</f>
      </c>
      <c r="AA63" t="s" s="480">
        <f>IF(OR($H63="no",$B63=0),"",IF($I63='Parameters'!$K$15,(2*($M63/2)*SIN(RADIANS($W63/2))),(2*$M63*SIN(RADIANS($W63/2)))))</f>
      </c>
      <c r="AB63" t="s" s="480">
        <f>IF(OR($H63="no",$B63=0),"",$Z63*(1-EXP(-$Y63*$W63)))</f>
      </c>
      <c r="AC63" t="s" s="480">
        <f>IF(OR($H63="no",$B63=0),"",IF($I63='Parameters'!$K$15,$AB63*$N63/2,$AB63*$N63))</f>
      </c>
      <c r="AD63" t="s" s="497">
        <f>IF(OR($H63="no",$B63=0),"",IF($I63='Parameters'!$K$15,$AC63*2/'Parameters'!$AB$4,$AC63/'Parameters'!$AB$4))</f>
      </c>
      <c r="AE63" t="s" s="487">
        <f>IF(AND(O63="B",Q63="calc"),V63,IF(AND(O63="C",Q63="calc"),'Window &amp; Door DATA INPUT'!T69/1000,""))</f>
      </c>
      <c r="AF63" t="s" s="414">
        <f>IF(AND(O63="B",Q63="input"),'Window &amp; Door DATA INPUT'!AA69,IF(AND(O63="C",Q63="input",P63="F"),'Window &amp; Door DATA INPUT'!V69,IF(AND(O63="C",P63="E"),0,IF(AND(O63="D"),0,IF(AND(B63=1,C63=0),"",(Q63))))))</f>
      </c>
      <c r="AG63" t="s" s="496">
        <f>IF(AF63="calc",DEGREES(ASIN(AE63/M63)),AF63)</f>
      </c>
      <c r="AH63" t="s" s="480">
        <f>IF(OR($H63="no",$C63=0),"",IF($I63='Parameters'!$K$15,$L63/($M63/2),$L63/$M63))</f>
      </c>
      <c r="AI63" t="s" s="480">
        <f>IF(OR($H63="no",$C63=0),"",IF($AH63&lt;0.5,'Parameters'!$X$4,IF($AH63&lt;1,'Parameters'!$Y$4,IF($AH63&lt;2,'Parameters'!$Z$4,'Parameters'!$AA$4))))</f>
      </c>
      <c r="AJ63" t="s" s="480">
        <f>IF(OR($H63="no",$C63=0),"",IF($AH63&lt;0.5,'Parameters'!$X$5,IF($AH63&lt;1,'Parameters'!$Y$5,IF($AH63&lt;2,'Parameters'!$Z$5,'Parameters'!$AA$5))))</f>
      </c>
      <c r="AK63" t="s" s="480">
        <f>IF(OR($H63="no",$C63=0),"",IF($I63='Parameters'!$K$15,(2*($M63/2)*SIN(RADIANS($AG63/2))),(2*$M63*SIN(RADIANS($AG63/2)))))</f>
      </c>
      <c r="AL63" t="s" s="480">
        <f>IF(OR($H63="no",$C63=0),"",$AJ63*(1-EXP(-$AI63*$AG63)))</f>
      </c>
      <c r="AM63" t="s" s="480">
        <f>IF(OR($H63="no",$C63=0),"",IF($I63='Parameters'!$K$15,$AL63*$N63/2,$AL63*$N63))</f>
      </c>
      <c r="AN63" t="s" s="497">
        <f>IF(OR($H63="no",$C63=0),"",IF($I63='Parameters'!$K$15,$AM63*2/'Parameters'!$AB$4,$AM63/'Parameters'!$AB$4))</f>
      </c>
      <c r="AO63" s="510"/>
      <c r="AP63" s="441"/>
      <c r="AQ63" s="441"/>
      <c r="AR63" s="441"/>
      <c r="AS63" s="441"/>
      <c r="AT63" s="441"/>
      <c r="AU63" s="441"/>
      <c r="AV63" s="441"/>
      <c r="AW63" s="441"/>
      <c r="AX63" s="441"/>
      <c r="AY63" s="441"/>
      <c r="AZ63" s="441"/>
      <c r="BA63" s="441"/>
      <c r="BB63" s="441"/>
      <c r="BC63" s="441"/>
      <c r="BD63" s="441"/>
      <c r="BE63" s="441"/>
      <c r="BF63" s="441"/>
      <c r="BG63" s="441"/>
      <c r="BH63" s="441"/>
      <c r="BI63" s="441"/>
      <c r="BJ63" s="441"/>
      <c r="BK63" s="441"/>
      <c r="BL63" s="441"/>
    </row>
    <row r="64" ht="16" customHeight="1">
      <c r="A64" s="470"/>
      <c r="B64" s="479">
        <f>IF('Window &amp; Door DATA INPUT'!B70&gt;1,1,0)</f>
        <v>0</v>
      </c>
      <c r="C64" s="479">
        <f>IF(AND(B64=1,OR(D64='Parameters'!$D$17,D64='Parameters'!$D$18,D64='Parameters'!$D$19,D64='Parameters'!$D$20,D64='Parameters'!$D$21)),1,0)</f>
        <v>0</v>
      </c>
      <c r="D64" t="s" s="480">
        <f>IF('Window &amp; Door DATA INPUT'!B70="","",'Window &amp; Door DATA INPUT'!B70)</f>
      </c>
      <c r="E64" t="s" s="480">
        <f>IF('Window &amp; Door DATA INPUT'!D70="","",'Window &amp; Door DATA INPUT'!D70)</f>
      </c>
      <c r="F64" t="s" s="480">
        <f>IF(B64=1,'Window &amp; Door DATA INPUT'!H70&amp;'RESULTS'!$H$5,"")</f>
      </c>
      <c r="G64" t="s" s="480">
        <f>IF(B64=1,VLOOKUP(F64,'Parameters'!$H$4:$I$20,2,FALSE),"")</f>
      </c>
      <c r="H64" t="s" s="480">
        <f>IF(OR('Window &amp; Door DATA INPUT'!J70='Parameters'!$K$4,'Window &amp; Door DATA INPUT'!J70='Parameters'!$K$11),"No",IF('Window &amp; Door DATA INPUT'!K70="","",'Window &amp; Door DATA INPUT'!K70))</f>
      </c>
      <c r="I64" t="s" s="480">
        <f>IF('Window &amp; Door DATA INPUT'!J70="","",'Window &amp; Door DATA INPUT'!J70)</f>
      </c>
      <c r="J64" t="s" s="480">
        <f>IF('Window &amp; Door DATA INPUT'!L70='Parameters'!$O$5,'Window &amp; Door DATA INPUT'!O70,IF(B64=1,'Window &amp; Door DATA INPUT'!N70*'Window &amp; Door DATA INPUT'!M70,""))</f>
      </c>
      <c r="K64" t="s" s="414">
        <f>IF('Window &amp; Door DATA INPUT'!J70="","",VLOOKUP('Window &amp; Door DATA INPUT'!J70,'Parameters'!$K$4:$L$16,2,FALSE))</f>
      </c>
      <c r="L64" t="s" s="480">
        <f>IF($H64="yes",IF($K64="Y",'Window &amp; Door DATA INPUT'!Q70,IF($K64="N",'Window &amp; Door DATA INPUT'!P70)),"")</f>
      </c>
      <c r="M64" t="s" s="480">
        <f>IF($H64="yes",IF($K64="Y",'Window &amp; Door DATA INPUT'!P70,IF($K64="N",'Window &amp; Door DATA INPUT'!Q70)),"")</f>
      </c>
      <c r="N64" t="s" s="480">
        <f>IF(L64="","",L64*M64)</f>
      </c>
      <c r="O64" t="s" s="414">
        <f>IF(AND(B64=1,C64=0,H64="yes"),"A",IF(AND(C64=1,H64="yes",'Window &amp; Door DATA INPUT'!R70="no"),"B",IF(AND(C64=1,H64="yes",'Window &amp; Door DATA INPUT'!R70="yes",'Window &amp; Door DATA INPUT'!S70="yes"),"C",IF(AND(C64=1,H64="yes",'Window &amp; Door DATA INPUT'!R70="yes",'Window &amp; Door DATA INPUT'!S70="no"),"D",""))))</f>
      </c>
      <c r="P64" t="s" s="414">
        <f>IF(AND(C64=1,H64="yes",OR(I64='Parameters'!$K$12,I64='Parameters'!$K$13,I64='Parameters'!$K$14)),"E",IF(AND(C64=1,H64="yes",NOT(OR(I64='Parameters'!$K$12,I64='Parameters'!$K$13,I64='Parameters'!$K$14))),"F",""))</f>
      </c>
      <c r="Q64" t="s" s="414">
        <f>IF(AND(B64=1,H64="yes"),VLOOKUP(I64,'Parameters'!$K$4:$M$16,3,FALSE),"")</f>
      </c>
      <c r="R64" t="s" s="414">
        <f>IF(AND(OR(O64="A",O64="B",O64="d"),Q64="input"),'Window &amp; Door DATA INPUT'!AA70,IF(AND(O64="C",Q64="input"),'Window &amp; Door DATA INPUT'!W70,Q64))</f>
      </c>
      <c r="S64" t="s" s="414">
        <f>IF('Window &amp; Door DATA INPUT'!X70="Yes",'Window &amp; Door DATA INPUT'!Y70/1000,IF(B64=1,"N/A",""))</f>
      </c>
      <c r="T64" t="s" s="480">
        <f>IF(Q64="calc",IF(P64="yes",'Window &amp; Door DATA INPUT'!U70/1000,('Parameters'!$S$4-'Window &amp; Door DATA INPUT'!Z70+'Parameters'!$Q$4)/1000),"")</f>
      </c>
      <c r="U64" t="s" s="480">
        <f>IF(Q64="calc",IF(T64&gt;M64,M64,T64),"")</f>
      </c>
      <c r="V64" t="s" s="480">
        <f>IF(AND(S64&gt;0,S64&lt;U64),S64,U64)</f>
      </c>
      <c r="W64" t="s" s="496">
        <f>IF(R64="calc",DEGREES(ASIN(V64/M64)),R64)</f>
      </c>
      <c r="X64" t="s" s="480">
        <f>IF(OR($H64="no",$B64=0),"",IF($I64='Parameters'!$K$15,$L64/($M64/2),$L64/$M64))</f>
      </c>
      <c r="Y64" t="s" s="480">
        <f>IF(OR($H64="no",$B64=0),"",IF($X64&lt;0.5,'Parameters'!$X$4,IF($X64&lt;1,'Parameters'!$Y$4,IF($X64&lt;2,'Parameters'!$Z$4,'Parameters'!$AA$4))))</f>
      </c>
      <c r="Z64" t="s" s="480">
        <f>IF(OR($H64="no",$B64=0),"",IF($X64&lt;0.5,'Parameters'!$X$5,IF($X64&lt;1,'Parameters'!$Y$5,IF($X64&lt;2,'Parameters'!$Z$5,'Parameters'!$AA$5))))</f>
      </c>
      <c r="AA64" t="s" s="480">
        <f>IF(OR($H64="no",$B64=0),"",IF($I64='Parameters'!$K$15,(2*($M64/2)*SIN(RADIANS($W64/2))),(2*$M64*SIN(RADIANS($W64/2)))))</f>
      </c>
      <c r="AB64" t="s" s="480">
        <f>IF(OR($H64="no",$B64=0),"",$Z64*(1-EXP(-$Y64*$W64)))</f>
      </c>
      <c r="AC64" t="s" s="480">
        <f>IF(OR($H64="no",$B64=0),"",IF($I64='Parameters'!$K$15,$AB64*$N64/2,$AB64*$N64))</f>
      </c>
      <c r="AD64" t="s" s="497">
        <f>IF(OR($H64="no",$B64=0),"",IF($I64='Parameters'!$K$15,$AC64*2/'Parameters'!$AB$4,$AC64/'Parameters'!$AB$4))</f>
      </c>
      <c r="AE64" t="s" s="487">
        <f>IF(AND(O64="B",Q64="calc"),V64,IF(AND(O64="C",Q64="calc"),'Window &amp; Door DATA INPUT'!T70/1000,""))</f>
      </c>
      <c r="AF64" t="s" s="414">
        <f>IF(AND(O64="B",Q64="input"),'Window &amp; Door DATA INPUT'!AA70,IF(AND(O64="C",Q64="input",P64="F"),'Window &amp; Door DATA INPUT'!V70,IF(AND(O64="C",P64="E"),0,IF(AND(O64="D"),0,IF(AND(B64=1,C64=0),"",(Q64))))))</f>
      </c>
      <c r="AG64" t="s" s="496">
        <f>IF(AF64="calc",DEGREES(ASIN(AE64/M64)),AF64)</f>
      </c>
      <c r="AH64" t="s" s="480">
        <f>IF(OR($H64="no",$C64=0),"",IF($I64='Parameters'!$K$15,$L64/($M64/2),$L64/$M64))</f>
      </c>
      <c r="AI64" t="s" s="480">
        <f>IF(OR($H64="no",$C64=0),"",IF($AH64&lt;0.5,'Parameters'!$X$4,IF($AH64&lt;1,'Parameters'!$Y$4,IF($AH64&lt;2,'Parameters'!$Z$4,'Parameters'!$AA$4))))</f>
      </c>
      <c r="AJ64" t="s" s="480">
        <f>IF(OR($H64="no",$C64=0),"",IF($AH64&lt;0.5,'Parameters'!$X$5,IF($AH64&lt;1,'Parameters'!$Y$5,IF($AH64&lt;2,'Parameters'!$Z$5,'Parameters'!$AA$5))))</f>
      </c>
      <c r="AK64" t="s" s="480">
        <f>IF(OR($H64="no",$C64=0),"",IF($I64='Parameters'!$K$15,(2*($M64/2)*SIN(RADIANS($AG64/2))),(2*$M64*SIN(RADIANS($AG64/2)))))</f>
      </c>
      <c r="AL64" t="s" s="480">
        <f>IF(OR($H64="no",$C64=0),"",$AJ64*(1-EXP(-$AI64*$AG64)))</f>
      </c>
      <c r="AM64" t="s" s="480">
        <f>IF(OR($H64="no",$C64=0),"",IF($I64='Parameters'!$K$15,$AL64*$N64/2,$AL64*$N64))</f>
      </c>
      <c r="AN64" t="s" s="497">
        <f>IF(OR($H64="no",$C64=0),"",IF($I64='Parameters'!$K$15,$AM64*2/'Parameters'!$AB$4,$AM64/'Parameters'!$AB$4))</f>
      </c>
      <c r="AO64" s="510"/>
      <c r="AP64" s="441"/>
      <c r="AQ64" s="441"/>
      <c r="AR64" s="441"/>
      <c r="AS64" s="441"/>
      <c r="AT64" s="441"/>
      <c r="AU64" s="441"/>
      <c r="AV64" s="441"/>
      <c r="AW64" s="441"/>
      <c r="AX64" s="441"/>
      <c r="AY64" s="441"/>
      <c r="AZ64" s="441"/>
      <c r="BA64" s="441"/>
      <c r="BB64" s="441"/>
      <c r="BC64" s="441"/>
      <c r="BD64" s="441"/>
      <c r="BE64" s="441"/>
      <c r="BF64" s="441"/>
      <c r="BG64" s="441"/>
      <c r="BH64" s="441"/>
      <c r="BI64" s="441"/>
      <c r="BJ64" s="441"/>
      <c r="BK64" s="441"/>
      <c r="BL64" s="441"/>
    </row>
    <row r="65" ht="16" customHeight="1">
      <c r="A65" s="470"/>
      <c r="B65" s="479">
        <f>IF('Window &amp; Door DATA INPUT'!B71&gt;1,1,0)</f>
        <v>0</v>
      </c>
      <c r="C65" s="479">
        <f>IF(AND(B65=1,OR(D65='Parameters'!$D$17,D65='Parameters'!$D$18,D65='Parameters'!$D$19,D65='Parameters'!$D$20,D65='Parameters'!$D$21)),1,0)</f>
        <v>0</v>
      </c>
      <c r="D65" t="s" s="480">
        <f>IF('Window &amp; Door DATA INPUT'!B71="","",'Window &amp; Door DATA INPUT'!B71)</f>
      </c>
      <c r="E65" t="s" s="480">
        <f>IF('Window &amp; Door DATA INPUT'!D71="","",'Window &amp; Door DATA INPUT'!D71)</f>
      </c>
      <c r="F65" t="s" s="480">
        <f>IF(B65=1,'Window &amp; Door DATA INPUT'!H71&amp;'RESULTS'!$H$5,"")</f>
      </c>
      <c r="G65" t="s" s="480">
        <f>IF(B65=1,VLOOKUP(F65,'Parameters'!$H$4:$I$20,2,FALSE),"")</f>
      </c>
      <c r="H65" t="s" s="480">
        <f>IF(OR('Window &amp; Door DATA INPUT'!J71='Parameters'!$K$4,'Window &amp; Door DATA INPUT'!J71='Parameters'!$K$11),"No",IF('Window &amp; Door DATA INPUT'!K71="","",'Window &amp; Door DATA INPUT'!K71))</f>
      </c>
      <c r="I65" t="s" s="480">
        <f>IF('Window &amp; Door DATA INPUT'!J71="","",'Window &amp; Door DATA INPUT'!J71)</f>
      </c>
      <c r="J65" t="s" s="480">
        <f>IF('Window &amp; Door DATA INPUT'!L71='Parameters'!$O$5,'Window &amp; Door DATA INPUT'!O71,IF(B65=1,'Window &amp; Door DATA INPUT'!N71*'Window &amp; Door DATA INPUT'!M71,""))</f>
      </c>
      <c r="K65" t="s" s="414">
        <f>IF('Window &amp; Door DATA INPUT'!J71="","",VLOOKUP('Window &amp; Door DATA INPUT'!J71,'Parameters'!$K$4:$L$16,2,FALSE))</f>
      </c>
      <c r="L65" t="s" s="480">
        <f>IF($H65="yes",IF($K65="Y",'Window &amp; Door DATA INPUT'!Q71,IF($K65="N",'Window &amp; Door DATA INPUT'!P71)),"")</f>
      </c>
      <c r="M65" t="s" s="480">
        <f>IF($H65="yes",IF($K65="Y",'Window &amp; Door DATA INPUT'!P71,IF($K65="N",'Window &amp; Door DATA INPUT'!Q71)),"")</f>
      </c>
      <c r="N65" t="s" s="480">
        <f>IF(L65="","",L65*M65)</f>
      </c>
      <c r="O65" t="s" s="414">
        <f>IF(AND(B65=1,C65=0,H65="yes"),"A",IF(AND(C65=1,H65="yes",'Window &amp; Door DATA INPUT'!R71="no"),"B",IF(AND(C65=1,H65="yes",'Window &amp; Door DATA INPUT'!R71="yes",'Window &amp; Door DATA INPUT'!S71="yes"),"C",IF(AND(C65=1,H65="yes",'Window &amp; Door DATA INPUT'!R71="yes",'Window &amp; Door DATA INPUT'!S71="no"),"D",""))))</f>
      </c>
      <c r="P65" t="s" s="414">
        <f>IF(AND(C65=1,H65="yes",OR(I65='Parameters'!$K$12,I65='Parameters'!$K$13,I65='Parameters'!$K$14)),"E",IF(AND(C65=1,H65="yes",NOT(OR(I65='Parameters'!$K$12,I65='Parameters'!$K$13,I65='Parameters'!$K$14))),"F",""))</f>
      </c>
      <c r="Q65" t="s" s="414">
        <f>IF(AND(B65=1,H65="yes"),VLOOKUP(I65,'Parameters'!$K$4:$M$16,3,FALSE),"")</f>
      </c>
      <c r="R65" t="s" s="414">
        <f>IF(AND(OR(O65="A",O65="B",O65="d"),Q65="input"),'Window &amp; Door DATA INPUT'!AA71,IF(AND(O65="C",Q65="input"),'Window &amp; Door DATA INPUT'!W71,Q65))</f>
      </c>
      <c r="S65" t="s" s="414">
        <f>IF('Window &amp; Door DATA INPUT'!X71="Yes",'Window &amp; Door DATA INPUT'!Y71/1000,IF(B65=1,"N/A",""))</f>
      </c>
      <c r="T65" t="s" s="480">
        <f>IF(Q65="calc",IF(P65="yes",'Window &amp; Door DATA INPUT'!U71/1000,('Parameters'!$S$4-'Window &amp; Door DATA INPUT'!Z71+'Parameters'!$Q$4)/1000),"")</f>
      </c>
      <c r="U65" t="s" s="480">
        <f>IF(Q65="calc",IF(T65&gt;M65,M65,T65),"")</f>
      </c>
      <c r="V65" t="s" s="480">
        <f>IF(AND(S65&gt;0,S65&lt;U65),S65,U65)</f>
      </c>
      <c r="W65" t="s" s="496">
        <f>IF(R65="calc",DEGREES(ASIN(V65/M65)),R65)</f>
      </c>
      <c r="X65" t="s" s="480">
        <f>IF(OR($H65="no",$B65=0),"",IF($I65='Parameters'!$K$15,$L65/($M65/2),$L65/$M65))</f>
      </c>
      <c r="Y65" t="s" s="480">
        <f>IF(OR($H65="no",$B65=0),"",IF($X65&lt;0.5,'Parameters'!$X$4,IF($X65&lt;1,'Parameters'!$Y$4,IF($X65&lt;2,'Parameters'!$Z$4,'Parameters'!$AA$4))))</f>
      </c>
      <c r="Z65" t="s" s="480">
        <f>IF(OR($H65="no",$B65=0),"",IF($X65&lt;0.5,'Parameters'!$X$5,IF($X65&lt;1,'Parameters'!$Y$5,IF($X65&lt;2,'Parameters'!$Z$5,'Parameters'!$AA$5))))</f>
      </c>
      <c r="AA65" t="s" s="480">
        <f>IF(OR($H65="no",$B65=0),"",IF($I65='Parameters'!$K$15,(2*($M65/2)*SIN(RADIANS($W65/2))),(2*$M65*SIN(RADIANS($W65/2)))))</f>
      </c>
      <c r="AB65" t="s" s="480">
        <f>IF(OR($H65="no",$B65=0),"",$Z65*(1-EXP(-$Y65*$W65)))</f>
      </c>
      <c r="AC65" t="s" s="480">
        <f>IF(OR($H65="no",$B65=0),"",IF($I65='Parameters'!$K$15,$AB65*$N65/2,$AB65*$N65))</f>
      </c>
      <c r="AD65" t="s" s="497">
        <f>IF(OR($H65="no",$B65=0),"",IF($I65='Parameters'!$K$15,$AC65*2/'Parameters'!$AB$4,$AC65/'Parameters'!$AB$4))</f>
      </c>
      <c r="AE65" t="s" s="487">
        <f>IF(AND(O65="B",Q65="calc"),V65,IF(AND(O65="C",Q65="calc"),'Window &amp; Door DATA INPUT'!T71/1000,""))</f>
      </c>
      <c r="AF65" t="s" s="414">
        <f>IF(AND(O65="B",Q65="input"),'Window &amp; Door DATA INPUT'!AA71,IF(AND(O65="C",Q65="input",P65="F"),'Window &amp; Door DATA INPUT'!V71,IF(AND(O65="C",P65="E"),0,IF(AND(O65="D"),0,IF(AND(B65=1,C65=0),"",(Q65))))))</f>
      </c>
      <c r="AG65" t="s" s="496">
        <f>IF(AF65="calc",DEGREES(ASIN(AE65/M65)),AF65)</f>
      </c>
      <c r="AH65" t="s" s="480">
        <f>IF(OR($H65="no",$C65=0),"",IF($I65='Parameters'!$K$15,$L65/($M65/2),$L65/$M65))</f>
      </c>
      <c r="AI65" t="s" s="480">
        <f>IF(OR($H65="no",$C65=0),"",IF($AH65&lt;0.5,'Parameters'!$X$4,IF($AH65&lt;1,'Parameters'!$Y$4,IF($AH65&lt;2,'Parameters'!$Z$4,'Parameters'!$AA$4))))</f>
      </c>
      <c r="AJ65" t="s" s="480">
        <f>IF(OR($H65="no",$C65=0),"",IF($AH65&lt;0.5,'Parameters'!$X$5,IF($AH65&lt;1,'Parameters'!$Y$5,IF($AH65&lt;2,'Parameters'!$Z$5,'Parameters'!$AA$5))))</f>
      </c>
      <c r="AK65" t="s" s="480">
        <f>IF(OR($H65="no",$C65=0),"",IF($I65='Parameters'!$K$15,(2*($M65/2)*SIN(RADIANS($AG65/2))),(2*$M65*SIN(RADIANS($AG65/2)))))</f>
      </c>
      <c r="AL65" t="s" s="480">
        <f>IF(OR($H65="no",$C65=0),"",$AJ65*(1-EXP(-$AI65*$AG65)))</f>
      </c>
      <c r="AM65" t="s" s="480">
        <f>IF(OR($H65="no",$C65=0),"",IF($I65='Parameters'!$K$15,$AL65*$N65/2,$AL65*$N65))</f>
      </c>
      <c r="AN65" t="s" s="497">
        <f>IF(OR($H65="no",$C65=0),"",IF($I65='Parameters'!$K$15,$AM65*2/'Parameters'!$AB$4,$AM65/'Parameters'!$AB$4))</f>
      </c>
      <c r="AO65" s="510"/>
      <c r="AP65" s="441"/>
      <c r="AQ65" s="441"/>
      <c r="AR65" s="441"/>
      <c r="AS65" s="441"/>
      <c r="AT65" s="441"/>
      <c r="AU65" s="441"/>
      <c r="AV65" s="441"/>
      <c r="AW65" s="441"/>
      <c r="AX65" s="441"/>
      <c r="AY65" s="441"/>
      <c r="AZ65" s="441"/>
      <c r="BA65" s="441"/>
      <c r="BB65" s="441"/>
      <c r="BC65" s="441"/>
      <c r="BD65" s="441"/>
      <c r="BE65" s="441"/>
      <c r="BF65" s="441"/>
      <c r="BG65" s="441"/>
      <c r="BH65" s="441"/>
      <c r="BI65" s="441"/>
      <c r="BJ65" s="441"/>
      <c r="BK65" s="441"/>
      <c r="BL65" s="441"/>
    </row>
    <row r="66" ht="16" customHeight="1">
      <c r="A66" s="470"/>
      <c r="B66" s="479">
        <f>IF('Window &amp; Door DATA INPUT'!B72&gt;1,1,0)</f>
        <v>0</v>
      </c>
      <c r="C66" s="479">
        <f>IF(AND(B66=1,OR(D66='Parameters'!$D$17,D66='Parameters'!$D$18,D66='Parameters'!$D$19,D66='Parameters'!$D$20,D66='Parameters'!$D$21)),1,0)</f>
        <v>0</v>
      </c>
      <c r="D66" t="s" s="480">
        <f>IF('Window &amp; Door DATA INPUT'!B72="","",'Window &amp; Door DATA INPUT'!B72)</f>
      </c>
      <c r="E66" t="s" s="480">
        <f>IF('Window &amp; Door DATA INPUT'!D72="","",'Window &amp; Door DATA INPUT'!D72)</f>
      </c>
      <c r="F66" t="s" s="480">
        <f>IF(B66=1,'Window &amp; Door DATA INPUT'!H72&amp;'RESULTS'!$H$5,"")</f>
      </c>
      <c r="G66" t="s" s="480">
        <f>IF(B66=1,VLOOKUP(F66,'Parameters'!$H$4:$I$20,2,FALSE),"")</f>
      </c>
      <c r="H66" t="s" s="480">
        <f>IF(OR('Window &amp; Door DATA INPUT'!J72='Parameters'!$K$4,'Window &amp; Door DATA INPUT'!J72='Parameters'!$K$11),"No",IF('Window &amp; Door DATA INPUT'!K72="","",'Window &amp; Door DATA INPUT'!K72))</f>
      </c>
      <c r="I66" t="s" s="480">
        <f>IF('Window &amp; Door DATA INPUT'!J72="","",'Window &amp; Door DATA INPUT'!J72)</f>
      </c>
      <c r="J66" t="s" s="480">
        <f>IF('Window &amp; Door DATA INPUT'!L72='Parameters'!$O$5,'Window &amp; Door DATA INPUT'!O72,IF(B66=1,'Window &amp; Door DATA INPUT'!N72*'Window &amp; Door DATA INPUT'!M72,""))</f>
      </c>
      <c r="K66" t="s" s="414">
        <f>IF('Window &amp; Door DATA INPUT'!J72="","",VLOOKUP('Window &amp; Door DATA INPUT'!J72,'Parameters'!$K$4:$L$16,2,FALSE))</f>
      </c>
      <c r="L66" t="s" s="480">
        <f>IF($H66="yes",IF($K66="Y",'Window &amp; Door DATA INPUT'!Q72,IF($K66="N",'Window &amp; Door DATA INPUT'!P72)),"")</f>
      </c>
      <c r="M66" t="s" s="480">
        <f>IF($H66="yes",IF($K66="Y",'Window &amp; Door DATA INPUT'!P72,IF($K66="N",'Window &amp; Door DATA INPUT'!Q72)),"")</f>
      </c>
      <c r="N66" t="s" s="480">
        <f>IF(L66="","",L66*M66)</f>
      </c>
      <c r="O66" t="s" s="414">
        <f>IF(AND(B66=1,C66=0,H66="yes"),"A",IF(AND(C66=1,H66="yes",'Window &amp; Door DATA INPUT'!R72="no"),"B",IF(AND(C66=1,H66="yes",'Window &amp; Door DATA INPUT'!R72="yes",'Window &amp; Door DATA INPUT'!S72="yes"),"C",IF(AND(C66=1,H66="yes",'Window &amp; Door DATA INPUT'!R72="yes",'Window &amp; Door DATA INPUT'!S72="no"),"D",""))))</f>
      </c>
      <c r="P66" t="s" s="414">
        <f>IF(AND(C66=1,H66="yes",OR(I66='Parameters'!$K$12,I66='Parameters'!$K$13,I66='Parameters'!$K$14)),"E",IF(AND(C66=1,H66="yes",NOT(OR(I66='Parameters'!$K$12,I66='Parameters'!$K$13,I66='Parameters'!$K$14))),"F",""))</f>
      </c>
      <c r="Q66" t="s" s="414">
        <f>IF(AND(B66=1,H66="yes"),VLOOKUP(I66,'Parameters'!$K$4:$M$16,3,FALSE),"")</f>
      </c>
      <c r="R66" t="s" s="414">
        <f>IF(AND(OR(O66="A",O66="B",O66="d"),Q66="input"),'Window &amp; Door DATA INPUT'!AA72,IF(AND(O66="C",Q66="input"),'Window &amp; Door DATA INPUT'!W72,Q66))</f>
      </c>
      <c r="S66" t="s" s="414">
        <f>IF('Window &amp; Door DATA INPUT'!X72="Yes",'Window &amp; Door DATA INPUT'!Y72/1000,IF(B66=1,"N/A",""))</f>
      </c>
      <c r="T66" t="s" s="480">
        <f>IF(Q66="calc",IF(P66="yes",'Window &amp; Door DATA INPUT'!U72/1000,('Parameters'!$S$4-'Window &amp; Door DATA INPUT'!Z72+'Parameters'!$Q$4)/1000),"")</f>
      </c>
      <c r="U66" t="s" s="480">
        <f>IF(Q66="calc",IF(T66&gt;M66,M66,T66),"")</f>
      </c>
      <c r="V66" t="s" s="480">
        <f>IF(AND(S66&gt;0,S66&lt;U66),S66,U66)</f>
      </c>
      <c r="W66" t="s" s="496">
        <f>IF(R66="calc",DEGREES(ASIN(V66/M66)),R66)</f>
      </c>
      <c r="X66" t="s" s="480">
        <f>IF(OR($H66="no",$B66=0),"",IF($I66='Parameters'!$K$15,$L66/($M66/2),$L66/$M66))</f>
      </c>
      <c r="Y66" t="s" s="480">
        <f>IF(OR($H66="no",$B66=0),"",IF($X66&lt;0.5,'Parameters'!$X$4,IF($X66&lt;1,'Parameters'!$Y$4,IF($X66&lt;2,'Parameters'!$Z$4,'Parameters'!$AA$4))))</f>
      </c>
      <c r="Z66" t="s" s="480">
        <f>IF(OR($H66="no",$B66=0),"",IF($X66&lt;0.5,'Parameters'!$X$5,IF($X66&lt;1,'Parameters'!$Y$5,IF($X66&lt;2,'Parameters'!$Z$5,'Parameters'!$AA$5))))</f>
      </c>
      <c r="AA66" t="s" s="480">
        <f>IF(OR($H66="no",$B66=0),"",IF($I66='Parameters'!$K$15,(2*($M66/2)*SIN(RADIANS($W66/2))),(2*$M66*SIN(RADIANS($W66/2)))))</f>
      </c>
      <c r="AB66" t="s" s="480">
        <f>IF(OR($H66="no",$B66=0),"",$Z66*(1-EXP(-$Y66*$W66)))</f>
      </c>
      <c r="AC66" t="s" s="480">
        <f>IF(OR($H66="no",$B66=0),"",IF($I66='Parameters'!$K$15,$AB66*$N66/2,$AB66*$N66))</f>
      </c>
      <c r="AD66" t="s" s="497">
        <f>IF(OR($H66="no",$B66=0),"",IF($I66='Parameters'!$K$15,$AC66*2/'Parameters'!$AB$4,$AC66/'Parameters'!$AB$4))</f>
      </c>
      <c r="AE66" t="s" s="487">
        <f>IF(AND(O66="B",Q66="calc"),V66,IF(AND(O66="C",Q66="calc"),'Window &amp; Door DATA INPUT'!T72/1000,""))</f>
      </c>
      <c r="AF66" t="s" s="414">
        <f>IF(AND(O66="B",Q66="input"),'Window &amp; Door DATA INPUT'!AA72,IF(AND(O66="C",Q66="input",P66="F"),'Window &amp; Door DATA INPUT'!V72,IF(AND(O66="C",P66="E"),0,IF(AND(O66="D"),0,IF(AND(B66=1,C66=0),"",(Q66))))))</f>
      </c>
      <c r="AG66" t="s" s="496">
        <f>IF(AF66="calc",DEGREES(ASIN(AE66/M66)),AF66)</f>
      </c>
      <c r="AH66" t="s" s="480">
        <f>IF(OR($H66="no",$C66=0),"",IF($I66='Parameters'!$K$15,$L66/($M66/2),$L66/$M66))</f>
      </c>
      <c r="AI66" t="s" s="480">
        <f>IF(OR($H66="no",$C66=0),"",IF($AH66&lt;0.5,'Parameters'!$X$4,IF($AH66&lt;1,'Parameters'!$Y$4,IF($AH66&lt;2,'Parameters'!$Z$4,'Parameters'!$AA$4))))</f>
      </c>
      <c r="AJ66" t="s" s="480">
        <f>IF(OR($H66="no",$C66=0),"",IF($AH66&lt;0.5,'Parameters'!$X$5,IF($AH66&lt;1,'Parameters'!$Y$5,IF($AH66&lt;2,'Parameters'!$Z$5,'Parameters'!$AA$5))))</f>
      </c>
      <c r="AK66" t="s" s="480">
        <f>IF(OR($H66="no",$C66=0),"",IF($I66='Parameters'!$K$15,(2*($M66/2)*SIN(RADIANS($AG66/2))),(2*$M66*SIN(RADIANS($AG66/2)))))</f>
      </c>
      <c r="AL66" t="s" s="480">
        <f>IF(OR($H66="no",$C66=0),"",$AJ66*(1-EXP(-$AI66*$AG66)))</f>
      </c>
      <c r="AM66" t="s" s="480">
        <f>IF(OR($H66="no",$C66=0),"",IF($I66='Parameters'!$K$15,$AL66*$N66/2,$AL66*$N66))</f>
      </c>
      <c r="AN66" t="s" s="497">
        <f>IF(OR($H66="no",$C66=0),"",IF($I66='Parameters'!$K$15,$AM66*2/'Parameters'!$AB$4,$AM66/'Parameters'!$AB$4))</f>
      </c>
      <c r="AO66" s="510"/>
      <c r="AP66" s="441"/>
      <c r="AQ66" s="441"/>
      <c r="AR66" s="441"/>
      <c r="AS66" s="441"/>
      <c r="AT66" s="441"/>
      <c r="AU66" s="441"/>
      <c r="AV66" s="441"/>
      <c r="AW66" s="441"/>
      <c r="AX66" s="441"/>
      <c r="AY66" s="441"/>
      <c r="AZ66" s="441"/>
      <c r="BA66" s="441"/>
      <c r="BB66" s="441"/>
      <c r="BC66" s="441"/>
      <c r="BD66" s="441"/>
      <c r="BE66" s="441"/>
      <c r="BF66" s="441"/>
      <c r="BG66" s="441"/>
      <c r="BH66" s="441"/>
      <c r="BI66" s="441"/>
      <c r="BJ66" s="441"/>
      <c r="BK66" s="441"/>
      <c r="BL66" s="441"/>
    </row>
    <row r="67" ht="16" customHeight="1">
      <c r="A67" s="470"/>
      <c r="B67" s="479">
        <f>IF('Window &amp; Door DATA INPUT'!B73&gt;1,1,0)</f>
        <v>0</v>
      </c>
      <c r="C67" s="479">
        <f>IF(AND(B67=1,OR(D67='Parameters'!$D$17,D67='Parameters'!$D$18,D67='Parameters'!$D$19,D67='Parameters'!$D$20,D67='Parameters'!$D$21)),1,0)</f>
        <v>0</v>
      </c>
      <c r="D67" t="s" s="480">
        <f>IF('Window &amp; Door DATA INPUT'!B73="","",'Window &amp; Door DATA INPUT'!B73)</f>
      </c>
      <c r="E67" t="s" s="480">
        <f>IF('Window &amp; Door DATA INPUT'!D73="","",'Window &amp; Door DATA INPUT'!D73)</f>
      </c>
      <c r="F67" t="s" s="480">
        <f>IF(B67=1,'Window &amp; Door DATA INPUT'!H73&amp;'RESULTS'!$H$5,"")</f>
      </c>
      <c r="G67" t="s" s="480">
        <f>IF(B67=1,VLOOKUP(F67,'Parameters'!$H$4:$I$20,2,FALSE),"")</f>
      </c>
      <c r="H67" t="s" s="480">
        <f>IF(OR('Window &amp; Door DATA INPUT'!J73='Parameters'!$K$4,'Window &amp; Door DATA INPUT'!J73='Parameters'!$K$11),"No",IF('Window &amp; Door DATA INPUT'!K73="","",'Window &amp; Door DATA INPUT'!K73))</f>
      </c>
      <c r="I67" t="s" s="480">
        <f>IF('Window &amp; Door DATA INPUT'!J73="","",'Window &amp; Door DATA INPUT'!J73)</f>
      </c>
      <c r="J67" t="s" s="480">
        <f>IF('Window &amp; Door DATA INPUT'!L73='Parameters'!$O$5,'Window &amp; Door DATA INPUT'!O73,IF(B67=1,'Window &amp; Door DATA INPUT'!N73*'Window &amp; Door DATA INPUT'!M73,""))</f>
      </c>
      <c r="K67" t="s" s="414">
        <f>IF('Window &amp; Door DATA INPUT'!J73="","",VLOOKUP('Window &amp; Door DATA INPUT'!J73,'Parameters'!$K$4:$L$16,2,FALSE))</f>
      </c>
      <c r="L67" t="s" s="480">
        <f>IF($H67="yes",IF($K67="Y",'Window &amp; Door DATA INPUT'!Q73,IF($K67="N",'Window &amp; Door DATA INPUT'!P73)),"")</f>
      </c>
      <c r="M67" t="s" s="480">
        <f>IF($H67="yes",IF($K67="Y",'Window &amp; Door DATA INPUT'!P73,IF($K67="N",'Window &amp; Door DATA INPUT'!Q73)),"")</f>
      </c>
      <c r="N67" t="s" s="480">
        <f>IF(L67="","",L67*M67)</f>
      </c>
      <c r="O67" t="s" s="414">
        <f>IF(AND(B67=1,C67=0,H67="yes"),"A",IF(AND(C67=1,H67="yes",'Window &amp; Door DATA INPUT'!R73="no"),"B",IF(AND(C67=1,H67="yes",'Window &amp; Door DATA INPUT'!R73="yes",'Window &amp; Door DATA INPUT'!S73="yes"),"C",IF(AND(C67=1,H67="yes",'Window &amp; Door DATA INPUT'!R73="yes",'Window &amp; Door DATA INPUT'!S73="no"),"D",""))))</f>
      </c>
      <c r="P67" t="s" s="414">
        <f>IF(AND(C67=1,H67="yes",OR(I67='Parameters'!$K$12,I67='Parameters'!$K$13,I67='Parameters'!$K$14)),"E",IF(AND(C67=1,H67="yes",NOT(OR(I67='Parameters'!$K$12,I67='Parameters'!$K$13,I67='Parameters'!$K$14))),"F",""))</f>
      </c>
      <c r="Q67" t="s" s="414">
        <f>IF(AND(B67=1,H67="yes"),VLOOKUP(I67,'Parameters'!$K$4:$M$16,3,FALSE),"")</f>
      </c>
      <c r="R67" t="s" s="414">
        <f>IF(AND(OR(O67="A",O67="B",O67="d"),Q67="input"),'Window &amp; Door DATA INPUT'!AA73,IF(AND(O67="C",Q67="input"),'Window &amp; Door DATA INPUT'!W73,Q67))</f>
      </c>
      <c r="S67" t="s" s="414">
        <f>IF('Window &amp; Door DATA INPUT'!X73="Yes",'Window &amp; Door DATA INPUT'!Y73/1000,IF(B67=1,"N/A",""))</f>
      </c>
      <c r="T67" t="s" s="480">
        <f>IF(Q67="calc",IF(P67="yes",'Window &amp; Door DATA INPUT'!U73/1000,('Parameters'!$S$4-'Window &amp; Door DATA INPUT'!Z73+'Parameters'!$Q$4)/1000),"")</f>
      </c>
      <c r="U67" t="s" s="480">
        <f>IF(Q67="calc",IF(T67&gt;M67,M67,T67),"")</f>
      </c>
      <c r="V67" t="s" s="480">
        <f>IF(AND(S67&gt;0,S67&lt;U67),S67,U67)</f>
      </c>
      <c r="W67" t="s" s="496">
        <f>IF(R67="calc",DEGREES(ASIN(V67/M67)),R67)</f>
      </c>
      <c r="X67" t="s" s="480">
        <f>IF(OR($H67="no",$B67=0),"",IF($I67='Parameters'!$K$15,$L67/($M67/2),$L67/$M67))</f>
      </c>
      <c r="Y67" t="s" s="480">
        <f>IF(OR($H67="no",$B67=0),"",IF($X67&lt;0.5,'Parameters'!$X$4,IF($X67&lt;1,'Parameters'!$Y$4,IF($X67&lt;2,'Parameters'!$Z$4,'Parameters'!$AA$4))))</f>
      </c>
      <c r="Z67" t="s" s="480">
        <f>IF(OR($H67="no",$B67=0),"",IF($X67&lt;0.5,'Parameters'!$X$5,IF($X67&lt;1,'Parameters'!$Y$5,IF($X67&lt;2,'Parameters'!$Z$5,'Parameters'!$AA$5))))</f>
      </c>
      <c r="AA67" t="s" s="480">
        <f>IF(OR($H67="no",$B67=0),"",IF($I67='Parameters'!$K$15,(2*($M67/2)*SIN(RADIANS($W67/2))),(2*$M67*SIN(RADIANS($W67/2)))))</f>
      </c>
      <c r="AB67" t="s" s="480">
        <f>IF(OR($H67="no",$B67=0),"",$Z67*(1-EXP(-$Y67*$W67)))</f>
      </c>
      <c r="AC67" t="s" s="480">
        <f>IF(OR($H67="no",$B67=0),"",IF($I67='Parameters'!$K$15,$AB67*$N67/2,$AB67*$N67))</f>
      </c>
      <c r="AD67" t="s" s="497">
        <f>IF(OR($H67="no",$B67=0),"",IF($I67='Parameters'!$K$15,$AC67*2/'Parameters'!$AB$4,$AC67/'Parameters'!$AB$4))</f>
      </c>
      <c r="AE67" t="s" s="487">
        <f>IF(AND(O67="B",Q67="calc"),V67,IF(AND(O67="C",Q67="calc"),'Window &amp; Door DATA INPUT'!T73/1000,""))</f>
      </c>
      <c r="AF67" t="s" s="414">
        <f>IF(AND(O67="B",Q67="input"),'Window &amp; Door DATA INPUT'!AA73,IF(AND(O67="C",Q67="input",P67="F"),'Window &amp; Door DATA INPUT'!V73,IF(AND(O67="C",P67="E"),0,IF(AND(O67="D"),0,IF(AND(B67=1,C67=0),"",(Q67))))))</f>
      </c>
      <c r="AG67" t="s" s="496">
        <f>IF(AF67="calc",DEGREES(ASIN(AE67/M67)),AF67)</f>
      </c>
      <c r="AH67" t="s" s="480">
        <f>IF(OR($H67="no",$C67=0),"",IF($I67='Parameters'!$K$15,$L67/($M67/2),$L67/$M67))</f>
      </c>
      <c r="AI67" t="s" s="480">
        <f>IF(OR($H67="no",$C67=0),"",IF($AH67&lt;0.5,'Parameters'!$X$4,IF($AH67&lt;1,'Parameters'!$Y$4,IF($AH67&lt;2,'Parameters'!$Z$4,'Parameters'!$AA$4))))</f>
      </c>
      <c r="AJ67" t="s" s="480">
        <f>IF(OR($H67="no",$C67=0),"",IF($AH67&lt;0.5,'Parameters'!$X$5,IF($AH67&lt;1,'Parameters'!$Y$5,IF($AH67&lt;2,'Parameters'!$Z$5,'Parameters'!$AA$5))))</f>
      </c>
      <c r="AK67" t="s" s="480">
        <f>IF(OR($H67="no",$C67=0),"",IF($I67='Parameters'!$K$15,(2*($M67/2)*SIN(RADIANS($AG67/2))),(2*$M67*SIN(RADIANS($AG67/2)))))</f>
      </c>
      <c r="AL67" t="s" s="480">
        <f>IF(OR($H67="no",$C67=0),"",$AJ67*(1-EXP(-$AI67*$AG67)))</f>
      </c>
      <c r="AM67" t="s" s="480">
        <f>IF(OR($H67="no",$C67=0),"",IF($I67='Parameters'!$K$15,$AL67*$N67/2,$AL67*$N67))</f>
      </c>
      <c r="AN67" t="s" s="497">
        <f>IF(OR($H67="no",$C67=0),"",IF($I67='Parameters'!$K$15,$AM67*2/'Parameters'!$AB$4,$AM67/'Parameters'!$AB$4))</f>
      </c>
      <c r="AO67" s="510"/>
      <c r="AP67" s="441"/>
      <c r="AQ67" s="441"/>
      <c r="AR67" s="441"/>
      <c r="AS67" s="441"/>
      <c r="AT67" s="441"/>
      <c r="AU67" s="441"/>
      <c r="AV67" s="441"/>
      <c r="AW67" s="441"/>
      <c r="AX67" s="441"/>
      <c r="AY67" s="441"/>
      <c r="AZ67" s="441"/>
      <c r="BA67" s="441"/>
      <c r="BB67" s="441"/>
      <c r="BC67" s="441"/>
      <c r="BD67" s="441"/>
      <c r="BE67" s="441"/>
      <c r="BF67" s="441"/>
      <c r="BG67" s="441"/>
      <c r="BH67" s="441"/>
      <c r="BI67" s="441"/>
      <c r="BJ67" s="441"/>
      <c r="BK67" s="441"/>
      <c r="BL67" s="441"/>
    </row>
    <row r="68" ht="16" customHeight="1">
      <c r="A68" s="470"/>
      <c r="B68" s="479">
        <f>IF('Window &amp; Door DATA INPUT'!B74&gt;1,1,0)</f>
        <v>0</v>
      </c>
      <c r="C68" s="479">
        <f>IF(AND(B68=1,OR(D68='Parameters'!$D$17,D68='Parameters'!$D$18,D68='Parameters'!$D$19,D68='Parameters'!$D$20,D68='Parameters'!$D$21)),1,0)</f>
        <v>0</v>
      </c>
      <c r="D68" t="s" s="480">
        <f>IF('Window &amp; Door DATA INPUT'!B74="","",'Window &amp; Door DATA INPUT'!B74)</f>
      </c>
      <c r="E68" t="s" s="480">
        <f>IF('Window &amp; Door DATA INPUT'!D74="","",'Window &amp; Door DATA INPUT'!D74)</f>
      </c>
      <c r="F68" t="s" s="480">
        <f>IF(B68=1,'Window &amp; Door DATA INPUT'!H74&amp;'RESULTS'!$H$5,"")</f>
      </c>
      <c r="G68" t="s" s="480">
        <f>IF(B68=1,VLOOKUP(F68,'Parameters'!$H$4:$I$20,2,FALSE),"")</f>
      </c>
      <c r="H68" t="s" s="480">
        <f>IF(OR('Window &amp; Door DATA INPUT'!J74='Parameters'!$K$4,'Window &amp; Door DATA INPUT'!J74='Parameters'!$K$11),"No",IF('Window &amp; Door DATA INPUT'!K74="","",'Window &amp; Door DATA INPUT'!K74))</f>
      </c>
      <c r="I68" t="s" s="480">
        <f>IF('Window &amp; Door DATA INPUT'!J74="","",'Window &amp; Door DATA INPUT'!J74)</f>
      </c>
      <c r="J68" t="s" s="480">
        <f>IF('Window &amp; Door DATA INPUT'!L74='Parameters'!$O$5,'Window &amp; Door DATA INPUT'!O74,IF(B68=1,'Window &amp; Door DATA INPUT'!N74*'Window &amp; Door DATA INPUT'!M74,""))</f>
      </c>
      <c r="K68" t="s" s="414">
        <f>IF('Window &amp; Door DATA INPUT'!J74="","",VLOOKUP('Window &amp; Door DATA INPUT'!J74,'Parameters'!$K$4:$L$16,2,FALSE))</f>
      </c>
      <c r="L68" t="s" s="480">
        <f>IF($H68="yes",IF($K68="Y",'Window &amp; Door DATA INPUT'!Q74,IF($K68="N",'Window &amp; Door DATA INPUT'!P74)),"")</f>
      </c>
      <c r="M68" t="s" s="480">
        <f>IF($H68="yes",IF($K68="Y",'Window &amp; Door DATA INPUT'!P74,IF($K68="N",'Window &amp; Door DATA INPUT'!Q74)),"")</f>
      </c>
      <c r="N68" t="s" s="480">
        <f>IF(L68="","",L68*M68)</f>
      </c>
      <c r="O68" t="s" s="414">
        <f>IF(AND(B68=1,C68=0,H68="yes"),"A",IF(AND(C68=1,H68="yes",'Window &amp; Door DATA INPUT'!R74="no"),"B",IF(AND(C68=1,H68="yes",'Window &amp; Door DATA INPUT'!R74="yes",'Window &amp; Door DATA INPUT'!S74="yes"),"C",IF(AND(C68=1,H68="yes",'Window &amp; Door DATA INPUT'!R74="yes",'Window &amp; Door DATA INPUT'!S74="no"),"D",""))))</f>
      </c>
      <c r="P68" t="s" s="414">
        <f>IF(AND(C68=1,H68="yes",OR(I68='Parameters'!$K$12,I68='Parameters'!$K$13,I68='Parameters'!$K$14)),"E",IF(AND(C68=1,H68="yes",NOT(OR(I68='Parameters'!$K$12,I68='Parameters'!$K$13,I68='Parameters'!$K$14))),"F",""))</f>
      </c>
      <c r="Q68" t="s" s="414">
        <f>IF(AND(B68=1,H68="yes"),VLOOKUP(I68,'Parameters'!$K$4:$M$16,3,FALSE),"")</f>
      </c>
      <c r="R68" t="s" s="414">
        <f>IF(AND(OR(O68="A",O68="B",O68="d"),Q68="input"),'Window &amp; Door DATA INPUT'!AA74,IF(AND(O68="C",Q68="input"),'Window &amp; Door DATA INPUT'!W74,Q68))</f>
      </c>
      <c r="S68" t="s" s="414">
        <f>IF('Window &amp; Door DATA INPUT'!X74="Yes",'Window &amp; Door DATA INPUT'!Y74/1000,IF(B68=1,"N/A",""))</f>
      </c>
      <c r="T68" t="s" s="480">
        <f>IF(Q68="calc",IF(P68="yes",'Window &amp; Door DATA INPUT'!U74/1000,('Parameters'!$S$4-'Window &amp; Door DATA INPUT'!Z74+'Parameters'!$Q$4)/1000),"")</f>
      </c>
      <c r="U68" t="s" s="480">
        <f>IF(Q68="calc",IF(T68&gt;M68,M68,T68),"")</f>
      </c>
      <c r="V68" t="s" s="480">
        <f>IF(AND(S68&gt;0,S68&lt;U68),S68,U68)</f>
      </c>
      <c r="W68" t="s" s="496">
        <f>IF(R68="calc",DEGREES(ASIN(V68/M68)),R68)</f>
      </c>
      <c r="X68" t="s" s="480">
        <f>IF(OR($H68="no",$B68=0),"",IF($I68='Parameters'!$K$15,$L68/($M68/2),$L68/$M68))</f>
      </c>
      <c r="Y68" t="s" s="480">
        <f>IF(OR($H68="no",$B68=0),"",IF($X68&lt;0.5,'Parameters'!$X$4,IF($X68&lt;1,'Parameters'!$Y$4,IF($X68&lt;2,'Parameters'!$Z$4,'Parameters'!$AA$4))))</f>
      </c>
      <c r="Z68" t="s" s="480">
        <f>IF(OR($H68="no",$B68=0),"",IF($X68&lt;0.5,'Parameters'!$X$5,IF($X68&lt;1,'Parameters'!$Y$5,IF($X68&lt;2,'Parameters'!$Z$5,'Parameters'!$AA$5))))</f>
      </c>
      <c r="AA68" t="s" s="480">
        <f>IF(OR($H68="no",$B68=0),"",IF($I68='Parameters'!$K$15,(2*($M68/2)*SIN(RADIANS($W68/2))),(2*$M68*SIN(RADIANS($W68/2)))))</f>
      </c>
      <c r="AB68" t="s" s="480">
        <f>IF(OR($H68="no",$B68=0),"",$Z68*(1-EXP(-$Y68*$W68)))</f>
      </c>
      <c r="AC68" t="s" s="480">
        <f>IF(OR($H68="no",$B68=0),"",IF($I68='Parameters'!$K$15,$AB68*$N68/2,$AB68*$N68))</f>
      </c>
      <c r="AD68" t="s" s="497">
        <f>IF(OR($H68="no",$B68=0),"",IF($I68='Parameters'!$K$15,$AC68*2/'Parameters'!$AB$4,$AC68/'Parameters'!$AB$4))</f>
      </c>
      <c r="AE68" t="s" s="487">
        <f>IF(AND(O68="B",Q68="calc"),V68,IF(AND(O68="C",Q68="calc"),'Window &amp; Door DATA INPUT'!T74/1000,""))</f>
      </c>
      <c r="AF68" t="s" s="414">
        <f>IF(AND(O68="B",Q68="input"),'Window &amp; Door DATA INPUT'!AA74,IF(AND(O68="C",Q68="input",P68="F"),'Window &amp; Door DATA INPUT'!V74,IF(AND(O68="C",P68="E"),0,IF(AND(O68="D"),0,IF(AND(B68=1,C68=0),"",(Q68))))))</f>
      </c>
      <c r="AG68" t="s" s="496">
        <f>IF(AF68="calc",DEGREES(ASIN(AE68/M68)),AF68)</f>
      </c>
      <c r="AH68" t="s" s="480">
        <f>IF(OR($H68="no",$C68=0),"",IF($I68='Parameters'!$K$15,$L68/($M68/2),$L68/$M68))</f>
      </c>
      <c r="AI68" t="s" s="480">
        <f>IF(OR($H68="no",$C68=0),"",IF($AH68&lt;0.5,'Parameters'!$X$4,IF($AH68&lt;1,'Parameters'!$Y$4,IF($AH68&lt;2,'Parameters'!$Z$4,'Parameters'!$AA$4))))</f>
      </c>
      <c r="AJ68" t="s" s="480">
        <f>IF(OR($H68="no",$C68=0),"",IF($AH68&lt;0.5,'Parameters'!$X$5,IF($AH68&lt;1,'Parameters'!$Y$5,IF($AH68&lt;2,'Parameters'!$Z$5,'Parameters'!$AA$5))))</f>
      </c>
      <c r="AK68" t="s" s="480">
        <f>IF(OR($H68="no",$C68=0),"",IF($I68='Parameters'!$K$15,(2*($M68/2)*SIN(RADIANS($AG68/2))),(2*$M68*SIN(RADIANS($AG68/2)))))</f>
      </c>
      <c r="AL68" t="s" s="480">
        <f>IF(OR($H68="no",$C68=0),"",$AJ68*(1-EXP(-$AI68*$AG68)))</f>
      </c>
      <c r="AM68" t="s" s="480">
        <f>IF(OR($H68="no",$C68=0),"",IF($I68='Parameters'!$K$15,$AL68*$N68/2,$AL68*$N68))</f>
      </c>
      <c r="AN68" t="s" s="497">
        <f>IF(OR($H68="no",$C68=0),"",IF($I68='Parameters'!$K$15,$AM68*2/'Parameters'!$AB$4,$AM68/'Parameters'!$AB$4))</f>
      </c>
      <c r="AO68" s="510"/>
      <c r="AP68" s="441"/>
      <c r="AQ68" s="441"/>
      <c r="AR68" s="441"/>
      <c r="AS68" s="441"/>
      <c r="AT68" s="441"/>
      <c r="AU68" s="441"/>
      <c r="AV68" s="441"/>
      <c r="AW68" s="441"/>
      <c r="AX68" s="441"/>
      <c r="AY68" s="441"/>
      <c r="AZ68" s="441"/>
      <c r="BA68" s="441"/>
      <c r="BB68" s="441"/>
      <c r="BC68" s="441"/>
      <c r="BD68" s="441"/>
      <c r="BE68" s="441"/>
      <c r="BF68" s="441"/>
      <c r="BG68" s="441"/>
      <c r="BH68" s="441"/>
      <c r="BI68" s="441"/>
      <c r="BJ68" s="441"/>
      <c r="BK68" s="441"/>
      <c r="BL68" s="441"/>
    </row>
  </sheetData>
  <mergeCells count="2">
    <mergeCell ref="AT2:AU2"/>
    <mergeCell ref="AV2:AW2"/>
  </mergeCells>
  <dataValidations count="1">
    <dataValidation type="list" allowBlank="1" showInputMessage="1" showErrorMessage="1" sqref="E2">
      <formula1>"North,South,East,West"</formula1>
    </dataValidation>
  </dataValidations>
  <pageMargins left="0.23622" right="0.23622" top="0.748031" bottom="0.748031" header="0.314961" footer="0.314961"/>
  <pageSetup firstPageNumber="1" fitToHeight="1" fitToWidth="1" scale="65" useFirstPageNumber="0" orientation="landscape" pageOrder="downThenOver"/>
  <headerFooter>
    <oddFooter>&amp;C&amp;"Helvetica Neue,Regular"&amp;12&amp;K000000&amp;P</oddFooter>
  </headerFooter>
  <drawing r:id="rId1"/>
  <legacyDrawing r:id="rId2"/>
</worksheet>
</file>

<file path=xl/worksheets/sheet9.xml><?xml version="1.0" encoding="utf-8"?>
<worksheet xmlns:r="http://schemas.openxmlformats.org/officeDocument/2006/relationships" xmlns="http://schemas.openxmlformats.org/spreadsheetml/2006/main">
  <dimension ref="A1:AO28"/>
  <sheetViews>
    <sheetView workbookViewId="0" showGridLines="0" defaultGridColor="1"/>
  </sheetViews>
  <sheetFormatPr defaultColWidth="11.5" defaultRowHeight="15" customHeight="1" outlineLevelRow="0" outlineLevelCol="0"/>
  <cols>
    <col min="1" max="1" width="4" style="515" customWidth="1"/>
    <col min="2" max="2" width="13.1719" style="515" customWidth="1"/>
    <col min="3" max="3" width="3" style="515" customWidth="1"/>
    <col min="4" max="4" width="12.8516" style="515" customWidth="1"/>
    <col min="5" max="5" width="5.5" style="515" customWidth="1"/>
    <col min="6" max="6" width="11.5" style="515" customWidth="1"/>
    <col min="7" max="7" width="6.85156" style="515" customWidth="1"/>
    <col min="8" max="8" width="10.3516" style="515" customWidth="1"/>
    <col min="9" max="9" width="11.1719" style="515" customWidth="1"/>
    <col min="10" max="10" width="5.67188" style="515" customWidth="1"/>
    <col min="11" max="11" width="23" style="515" customWidth="1"/>
    <col min="12" max="12" width="13.6719" style="515" customWidth="1"/>
    <col min="13" max="13" width="10" style="515" customWidth="1"/>
    <col min="14" max="14" width="3" style="515" customWidth="1"/>
    <col min="15" max="15" width="11.5" style="515" customWidth="1"/>
    <col min="16" max="16" width="5" style="515" customWidth="1"/>
    <col min="17" max="17" width="11.5" style="515" customWidth="1"/>
    <col min="18" max="18" width="3.17188" style="515" customWidth="1"/>
    <col min="19" max="19" width="11.5" style="515" customWidth="1"/>
    <col min="20" max="20" width="6.5" style="515" customWidth="1"/>
    <col min="21" max="21" width="11.5" style="515" customWidth="1"/>
    <col min="22" max="22" width="6.35156" style="515" customWidth="1"/>
    <col min="23" max="23" width="15.3516" style="515" customWidth="1"/>
    <col min="24" max="38" width="11.5" style="515" customWidth="1"/>
    <col min="39" max="39" width="2.17188" style="515" customWidth="1"/>
    <col min="40" max="41" width="11.5" style="515" customWidth="1"/>
    <col min="42" max="16384" width="11.5" style="515" customWidth="1"/>
  </cols>
  <sheetData>
    <row r="1" ht="13.55" customHeight="1">
      <c r="A1" s="441"/>
      <c r="B1" s="441"/>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row>
    <row r="2" ht="13.55" customHeight="1">
      <c r="A2" s="441"/>
      <c r="B2" s="441"/>
      <c r="C2" s="441"/>
      <c r="D2" s="441"/>
      <c r="E2" s="441"/>
      <c r="F2" s="441"/>
      <c r="G2" s="441"/>
      <c r="H2" s="441"/>
      <c r="I2" s="441"/>
      <c r="J2" s="441"/>
      <c r="K2" s="441"/>
      <c r="L2" s="441"/>
      <c r="M2" s="441"/>
      <c r="N2" s="441"/>
      <c r="O2" s="441"/>
      <c r="P2" s="441"/>
      <c r="Q2" s="441"/>
      <c r="R2" s="441"/>
      <c r="S2" s="441"/>
      <c r="T2" s="441"/>
      <c r="U2" s="441"/>
      <c r="V2" s="441"/>
      <c r="W2" s="441"/>
      <c r="X2" s="516"/>
      <c r="Y2" s="516"/>
      <c r="Z2" s="516"/>
      <c r="AA2" s="516"/>
      <c r="AB2" s="441"/>
      <c r="AC2" s="441"/>
      <c r="AD2" t="s" s="469">
        <v>338</v>
      </c>
      <c r="AE2" s="441"/>
      <c r="AF2" s="441"/>
      <c r="AG2" s="441"/>
      <c r="AH2" s="441"/>
      <c r="AI2" s="441"/>
      <c r="AJ2" s="441"/>
      <c r="AK2" s="441"/>
      <c r="AL2" s="441"/>
      <c r="AM2" s="441"/>
      <c r="AN2" s="441"/>
      <c r="AO2" s="441"/>
    </row>
    <row r="3" ht="64" customHeight="1">
      <c r="A3" s="441"/>
      <c r="B3" t="s" s="502">
        <v>454</v>
      </c>
      <c r="C3" s="441"/>
      <c r="D3" t="s" s="502">
        <v>455</v>
      </c>
      <c r="E3" s="445"/>
      <c r="F3" t="s" s="517">
        <v>456</v>
      </c>
      <c r="G3" s="441"/>
      <c r="H3" t="s" s="517">
        <v>457</v>
      </c>
      <c r="I3" s="441"/>
      <c r="J3" s="441"/>
      <c r="K3" t="s" s="502">
        <v>458</v>
      </c>
      <c r="L3" t="s" s="502">
        <v>459</v>
      </c>
      <c r="M3" t="s" s="502">
        <v>460</v>
      </c>
      <c r="N3" s="441"/>
      <c r="O3" t="s" s="502">
        <v>461</v>
      </c>
      <c r="P3" s="441"/>
      <c r="Q3" t="s" s="502">
        <v>462</v>
      </c>
      <c r="R3" s="441"/>
      <c r="S3" t="s" s="502">
        <v>463</v>
      </c>
      <c r="T3" s="441"/>
      <c r="U3" t="s" s="502">
        <v>464</v>
      </c>
      <c r="V3" s="441"/>
      <c r="W3" t="s" s="502">
        <v>465</v>
      </c>
      <c r="X3" t="s" s="518">
        <v>466</v>
      </c>
      <c r="Y3" t="s" s="518">
        <v>467</v>
      </c>
      <c r="Z3" t="s" s="518">
        <v>468</v>
      </c>
      <c r="AA3" t="s" s="518">
        <v>469</v>
      </c>
      <c r="AB3" t="s" s="502">
        <v>470</v>
      </c>
      <c r="AC3" s="441"/>
      <c r="AD3" t="s" s="502">
        <v>471</v>
      </c>
      <c r="AE3" t="s" s="502">
        <v>472</v>
      </c>
      <c r="AF3" t="s" s="502">
        <v>473</v>
      </c>
      <c r="AG3" s="478"/>
      <c r="AH3" t="s" s="502">
        <v>474</v>
      </c>
      <c r="AI3" t="s" s="502">
        <v>475</v>
      </c>
      <c r="AJ3" t="s" s="519">
        <v>476</v>
      </c>
      <c r="AK3" t="s" s="519">
        <v>477</v>
      </c>
      <c r="AL3" t="s" s="519">
        <v>478</v>
      </c>
      <c r="AM3" s="478"/>
      <c r="AN3" t="s" s="502">
        <v>479</v>
      </c>
      <c r="AO3" t="s" s="502">
        <v>480</v>
      </c>
    </row>
    <row r="4" ht="13.55" customHeight="1">
      <c r="A4" s="441"/>
      <c r="B4" t="s" s="502">
        <v>242</v>
      </c>
      <c r="C4" s="441"/>
      <c r="D4" t="s" s="502">
        <v>181</v>
      </c>
      <c r="E4" s="441"/>
      <c r="F4" s="505">
        <v>12</v>
      </c>
      <c r="G4" s="441"/>
      <c r="H4" t="s" s="502">
        <v>481</v>
      </c>
      <c r="I4" t="s" s="502">
        <v>178</v>
      </c>
      <c r="J4" s="441"/>
      <c r="K4" t="s" s="502">
        <v>183</v>
      </c>
      <c r="L4" t="s" s="502">
        <v>416</v>
      </c>
      <c r="M4" s="520">
        <v>0</v>
      </c>
      <c r="N4" s="441"/>
      <c r="O4" t="s" s="502">
        <v>180</v>
      </c>
      <c r="P4" s="441"/>
      <c r="Q4" s="505">
        <v>20</v>
      </c>
      <c r="R4" s="441"/>
      <c r="S4" s="505">
        <v>650</v>
      </c>
      <c r="T4" s="441"/>
      <c r="U4" s="521">
        <v>90</v>
      </c>
      <c r="V4" s="441"/>
      <c r="W4" t="s" s="502">
        <v>482</v>
      </c>
      <c r="X4" s="498">
        <v>0.0604762544204005</v>
      </c>
      <c r="Y4" s="498">
        <v>0.0478352593239432</v>
      </c>
      <c r="Z4" s="498">
        <v>0.0404635490792875</v>
      </c>
      <c r="AA4" s="498">
        <v>0.0381420632257139</v>
      </c>
      <c r="AB4" s="522">
        <v>0.62</v>
      </c>
      <c r="AC4" s="441"/>
      <c r="AD4" t="s" s="502">
        <v>483</v>
      </c>
      <c r="AE4" t="s" s="502">
        <v>138</v>
      </c>
      <c r="AF4" t="s" s="502">
        <v>207</v>
      </c>
      <c r="AG4" t="s" s="502">
        <f>AD4&amp;AE4&amp;AF4</f>
        <v>484</v>
      </c>
      <c r="AH4" s="505">
        <v>15</v>
      </c>
      <c r="AI4" s="505">
        <v>37</v>
      </c>
      <c r="AJ4" s="505">
        <v>6</v>
      </c>
      <c r="AK4" s="505">
        <v>70</v>
      </c>
      <c r="AL4" s="505">
        <v>13</v>
      </c>
      <c r="AM4" s="441"/>
      <c r="AN4" s="505">
        <f>AH4+AI4</f>
        <v>52</v>
      </c>
      <c r="AO4" s="505">
        <f>RANK(AN4,$AN$4:$AN$7,1)</f>
        <v>2</v>
      </c>
    </row>
    <row r="5" ht="17" customHeight="1">
      <c r="A5" s="441"/>
      <c r="B5" t="s" s="502">
        <v>483</v>
      </c>
      <c r="C5" s="441"/>
      <c r="D5" t="s" s="502">
        <v>193</v>
      </c>
      <c r="E5" s="441"/>
      <c r="F5" s="505">
        <v>3</v>
      </c>
      <c r="G5" s="441"/>
      <c r="H5" t="s" s="502">
        <v>485</v>
      </c>
      <c r="I5" t="s" s="502">
        <v>189</v>
      </c>
      <c r="J5" s="441"/>
      <c r="K5" t="s" s="502">
        <v>486</v>
      </c>
      <c r="L5" t="s" s="502">
        <v>427</v>
      </c>
      <c r="M5" t="s" s="523">
        <v>487</v>
      </c>
      <c r="N5" s="441"/>
      <c r="O5" t="s" s="502">
        <v>488</v>
      </c>
      <c r="P5" s="441"/>
      <c r="Q5" s="441"/>
      <c r="R5" s="441"/>
      <c r="S5" s="441"/>
      <c r="T5" s="441"/>
      <c r="U5" s="441"/>
      <c r="V5" s="441"/>
      <c r="W5" t="s" s="502">
        <v>489</v>
      </c>
      <c r="X5" s="498">
        <v>0.612341772151899</v>
      </c>
      <c r="Y5" s="498">
        <v>0.588607594936709</v>
      </c>
      <c r="Z5" s="498">
        <v>0.5625</v>
      </c>
      <c r="AA5" s="498">
        <v>0.548259493670886</v>
      </c>
      <c r="AB5" s="441"/>
      <c r="AC5" s="441"/>
      <c r="AD5" t="s" s="502">
        <v>483</v>
      </c>
      <c r="AE5" t="s" s="502">
        <v>138</v>
      </c>
      <c r="AF5" t="s" s="502">
        <v>203</v>
      </c>
      <c r="AG5" t="s" s="502">
        <f>AD5&amp;AE5&amp;AF5</f>
        <v>490</v>
      </c>
      <c r="AH5" s="505">
        <v>18</v>
      </c>
      <c r="AI5" s="505">
        <v>37</v>
      </c>
      <c r="AJ5" s="505">
        <v>6</v>
      </c>
      <c r="AK5" s="505">
        <v>70</v>
      </c>
      <c r="AL5" s="505">
        <v>13</v>
      </c>
      <c r="AM5" s="441"/>
      <c r="AN5" s="505">
        <f>AH5+AI5</f>
        <v>55</v>
      </c>
      <c r="AO5" s="505">
        <f>RANK(AN5,$AN$4:$AN$7,1)</f>
        <v>3</v>
      </c>
    </row>
    <row r="6" ht="13.55" customHeight="1">
      <c r="A6" s="441"/>
      <c r="B6" s="441"/>
      <c r="C6" s="441"/>
      <c r="D6" t="s" s="502">
        <v>420</v>
      </c>
      <c r="E6" s="441"/>
      <c r="F6" s="505">
        <v>6</v>
      </c>
      <c r="G6" s="441"/>
      <c r="H6" t="s" s="502">
        <v>491</v>
      </c>
      <c r="I6" t="s" s="502">
        <v>207</v>
      </c>
      <c r="J6" s="441"/>
      <c r="K6" t="s" s="502">
        <v>492</v>
      </c>
      <c r="L6" t="s" s="502">
        <v>413</v>
      </c>
      <c r="M6" t="s" s="523">
        <v>487</v>
      </c>
      <c r="N6" s="441"/>
      <c r="O6" s="441"/>
      <c r="P6" s="441"/>
      <c r="Q6" s="441"/>
      <c r="R6" s="441"/>
      <c r="S6" s="441"/>
      <c r="T6" s="441"/>
      <c r="U6" s="441"/>
      <c r="V6" s="441"/>
      <c r="W6" s="441"/>
      <c r="X6" s="441"/>
      <c r="Y6" s="441"/>
      <c r="Z6" s="441"/>
      <c r="AA6" s="441"/>
      <c r="AB6" s="441"/>
      <c r="AC6" s="441"/>
      <c r="AD6" t="s" s="502">
        <v>483</v>
      </c>
      <c r="AE6" t="s" s="502">
        <v>138</v>
      </c>
      <c r="AF6" t="s" s="502">
        <v>189</v>
      </c>
      <c r="AG6" t="s" s="502">
        <f>AD6&amp;AE6&amp;AF6</f>
        <v>493</v>
      </c>
      <c r="AH6" s="505">
        <v>15</v>
      </c>
      <c r="AI6" s="505">
        <v>22</v>
      </c>
      <c r="AJ6" s="505">
        <v>6</v>
      </c>
      <c r="AK6" s="505">
        <v>70</v>
      </c>
      <c r="AL6" s="505">
        <v>13</v>
      </c>
      <c r="AM6" s="441"/>
      <c r="AN6" s="505">
        <f>AH6+AI6</f>
        <v>37</v>
      </c>
      <c r="AO6" s="505">
        <f>RANK(AN6,$AN$4:$AN$7,1)</f>
        <v>1</v>
      </c>
    </row>
    <row r="7" ht="13.55" customHeight="1">
      <c r="A7" s="441"/>
      <c r="B7" s="441"/>
      <c r="C7" s="441"/>
      <c r="D7" t="s" s="502">
        <v>424</v>
      </c>
      <c r="E7" s="441"/>
      <c r="F7" s="505">
        <v>9</v>
      </c>
      <c r="G7" s="441"/>
      <c r="H7" t="s" s="502">
        <v>494</v>
      </c>
      <c r="I7" t="s" s="502">
        <v>203</v>
      </c>
      <c r="J7" s="441"/>
      <c r="K7" t="s" s="502">
        <v>495</v>
      </c>
      <c r="L7" t="s" s="502">
        <v>427</v>
      </c>
      <c r="M7" s="520">
        <v>90</v>
      </c>
      <c r="N7" s="441"/>
      <c r="O7" s="441"/>
      <c r="P7" s="441"/>
      <c r="Q7" s="441"/>
      <c r="R7" s="441"/>
      <c r="S7" s="441"/>
      <c r="T7" s="441"/>
      <c r="U7" s="441"/>
      <c r="V7" s="441"/>
      <c r="W7" s="441"/>
      <c r="X7" s="441"/>
      <c r="Y7" s="441"/>
      <c r="Z7" s="441"/>
      <c r="AA7" s="441"/>
      <c r="AB7" s="441"/>
      <c r="AC7" s="441"/>
      <c r="AD7" t="s" s="524">
        <v>483</v>
      </c>
      <c r="AE7" t="s" s="524">
        <v>138</v>
      </c>
      <c r="AF7" t="s" s="524">
        <v>178</v>
      </c>
      <c r="AG7" t="s" s="524">
        <f>AD7&amp;AE7&amp;AF7</f>
        <v>496</v>
      </c>
      <c r="AH7" s="525">
        <v>18</v>
      </c>
      <c r="AI7" s="525">
        <v>37</v>
      </c>
      <c r="AJ7" s="525">
        <v>6</v>
      </c>
      <c r="AK7" s="525">
        <v>70</v>
      </c>
      <c r="AL7" s="525">
        <v>13</v>
      </c>
      <c r="AM7" s="449"/>
      <c r="AN7" s="525">
        <f>AH7+AI7</f>
        <v>55</v>
      </c>
      <c r="AO7" s="525">
        <f>RANK(AN7,$AN$4:$AN$7,1)</f>
        <v>3</v>
      </c>
    </row>
    <row r="8" ht="13.55" customHeight="1">
      <c r="A8" s="441"/>
      <c r="B8" s="441"/>
      <c r="C8" s="441"/>
      <c r="D8" t="s" s="502">
        <v>208</v>
      </c>
      <c r="E8" s="441"/>
      <c r="F8" s="441"/>
      <c r="G8" s="441"/>
      <c r="H8" t="s" s="502">
        <v>497</v>
      </c>
      <c r="I8" t="s" s="502">
        <v>207</v>
      </c>
      <c r="J8" s="441"/>
      <c r="K8" t="s" s="502">
        <v>179</v>
      </c>
      <c r="L8" t="s" s="502">
        <v>413</v>
      </c>
      <c r="M8" t="s" s="523">
        <v>498</v>
      </c>
      <c r="N8" s="441"/>
      <c r="O8" s="441"/>
      <c r="P8" s="441"/>
      <c r="Q8" s="441"/>
      <c r="R8" s="441"/>
      <c r="S8" s="441"/>
      <c r="T8" s="441"/>
      <c r="U8" s="441"/>
      <c r="V8" s="441"/>
      <c r="W8" s="441"/>
      <c r="X8" s="441"/>
      <c r="Y8" s="441"/>
      <c r="Z8" s="441"/>
      <c r="AA8" s="441"/>
      <c r="AB8" s="441"/>
      <c r="AC8" s="441"/>
      <c r="AD8" t="s" s="526">
        <v>242</v>
      </c>
      <c r="AE8" t="s" s="526">
        <v>138</v>
      </c>
      <c r="AF8" t="s" s="526">
        <v>207</v>
      </c>
      <c r="AG8" t="s" s="526">
        <f>AD8&amp;AE8&amp;AF8</f>
        <v>499</v>
      </c>
      <c r="AH8" s="527">
        <v>18</v>
      </c>
      <c r="AI8" s="527">
        <v>37</v>
      </c>
      <c r="AJ8" s="527">
        <v>9</v>
      </c>
      <c r="AK8" s="527">
        <v>55</v>
      </c>
      <c r="AL8" s="527">
        <v>4</v>
      </c>
      <c r="AM8" s="500"/>
      <c r="AN8" s="527">
        <f>AH8+AI8</f>
        <v>55</v>
      </c>
      <c r="AO8" s="527">
        <f>RANK(AN8,$AN$8:$AN$11,1)</f>
        <v>3</v>
      </c>
    </row>
    <row r="9" ht="13.55" customHeight="1">
      <c r="A9" s="441"/>
      <c r="B9" s="441"/>
      <c r="C9" s="441"/>
      <c r="D9" t="s" s="502">
        <v>428</v>
      </c>
      <c r="E9" s="441"/>
      <c r="F9" s="441"/>
      <c r="G9" s="441"/>
      <c r="H9" t="s" s="502">
        <v>500</v>
      </c>
      <c r="I9" t="s" s="502">
        <v>178</v>
      </c>
      <c r="J9" s="441"/>
      <c r="K9" t="s" s="502">
        <v>501</v>
      </c>
      <c r="L9" t="s" s="502">
        <v>427</v>
      </c>
      <c r="M9" t="s" s="523">
        <v>498</v>
      </c>
      <c r="N9" s="441"/>
      <c r="O9" s="441"/>
      <c r="P9" s="441"/>
      <c r="Q9" s="441"/>
      <c r="R9" s="441"/>
      <c r="S9" s="441"/>
      <c r="T9" s="441"/>
      <c r="U9" s="441"/>
      <c r="V9" s="441"/>
      <c r="W9" s="441"/>
      <c r="X9" s="441"/>
      <c r="Y9" s="441"/>
      <c r="Z9" s="441"/>
      <c r="AA9" s="441"/>
      <c r="AB9" s="441"/>
      <c r="AC9" s="441"/>
      <c r="AD9" t="s" s="502">
        <v>242</v>
      </c>
      <c r="AE9" t="s" s="502">
        <v>138</v>
      </c>
      <c r="AF9" t="s" s="502">
        <v>203</v>
      </c>
      <c r="AG9" t="s" s="502">
        <f>AD9&amp;AE9&amp;AF9</f>
        <v>502</v>
      </c>
      <c r="AH9" s="505">
        <v>18</v>
      </c>
      <c r="AI9" s="505">
        <v>37</v>
      </c>
      <c r="AJ9" s="505">
        <v>9</v>
      </c>
      <c r="AK9" s="505">
        <v>55</v>
      </c>
      <c r="AL9" s="505">
        <v>4</v>
      </c>
      <c r="AM9" s="441"/>
      <c r="AN9" s="505">
        <f>AH9+AI9</f>
        <v>55</v>
      </c>
      <c r="AO9" s="505">
        <f>RANK(AN9,$AN$8:$AN$11,1)</f>
        <v>3</v>
      </c>
    </row>
    <row r="10" ht="13.55" customHeight="1">
      <c r="A10" s="441"/>
      <c r="B10" s="441"/>
      <c r="C10" s="441"/>
      <c r="D10" t="s" s="502">
        <v>197</v>
      </c>
      <c r="E10" s="441"/>
      <c r="F10" s="441"/>
      <c r="G10" s="441"/>
      <c r="H10" t="s" s="502">
        <v>503</v>
      </c>
      <c r="I10" t="s" s="502">
        <v>203</v>
      </c>
      <c r="J10" s="441"/>
      <c r="K10" t="s" s="502">
        <v>196</v>
      </c>
      <c r="L10" t="s" s="502">
        <v>427</v>
      </c>
      <c r="M10" s="520">
        <v>90</v>
      </c>
      <c r="N10" s="441"/>
      <c r="O10" s="441"/>
      <c r="P10" s="441"/>
      <c r="Q10" s="441"/>
      <c r="R10" s="441"/>
      <c r="S10" s="441"/>
      <c r="T10" s="441"/>
      <c r="U10" s="441"/>
      <c r="V10" s="441"/>
      <c r="W10" s="441"/>
      <c r="X10" s="441"/>
      <c r="Y10" s="441"/>
      <c r="Z10" s="441"/>
      <c r="AA10" s="441"/>
      <c r="AB10" s="441"/>
      <c r="AC10" s="441"/>
      <c r="AD10" t="s" s="502">
        <v>242</v>
      </c>
      <c r="AE10" t="s" s="502">
        <v>138</v>
      </c>
      <c r="AF10" t="s" s="502">
        <v>189</v>
      </c>
      <c r="AG10" t="s" s="502">
        <f>AD10&amp;AE10&amp;AF10</f>
        <v>504</v>
      </c>
      <c r="AH10" s="505">
        <v>15</v>
      </c>
      <c r="AI10" s="505">
        <v>30</v>
      </c>
      <c r="AJ10" s="505">
        <v>9</v>
      </c>
      <c r="AK10" s="505">
        <v>55</v>
      </c>
      <c r="AL10" s="505">
        <v>4</v>
      </c>
      <c r="AM10" s="441"/>
      <c r="AN10" s="505">
        <f>AH10+AI10</f>
        <v>45</v>
      </c>
      <c r="AO10" s="505">
        <f>RANK(AN10,$AN$8:$AN$11,1)</f>
        <v>2</v>
      </c>
    </row>
    <row r="11" ht="13.55" customHeight="1">
      <c r="A11" s="441"/>
      <c r="B11" s="441"/>
      <c r="C11" s="441"/>
      <c r="D11" t="s" s="502">
        <v>432</v>
      </c>
      <c r="E11" s="445"/>
      <c r="F11" s="441"/>
      <c r="G11" s="441"/>
      <c r="H11" t="s" s="502">
        <v>505</v>
      </c>
      <c r="I11" t="s" s="502">
        <v>189</v>
      </c>
      <c r="J11" s="441"/>
      <c r="K11" t="s" s="502">
        <v>506</v>
      </c>
      <c r="L11" t="s" s="502">
        <v>416</v>
      </c>
      <c r="M11" s="520">
        <v>0</v>
      </c>
      <c r="N11" s="441"/>
      <c r="O11" s="441"/>
      <c r="P11" s="441"/>
      <c r="Q11" s="441"/>
      <c r="R11" s="441"/>
      <c r="S11" s="441"/>
      <c r="T11" s="441"/>
      <c r="U11" s="441"/>
      <c r="V11" s="441"/>
      <c r="W11" s="441"/>
      <c r="X11" s="441"/>
      <c r="Y11" s="441"/>
      <c r="Z11" s="441"/>
      <c r="AA11" s="441"/>
      <c r="AB11" s="441"/>
      <c r="AC11" s="441"/>
      <c r="AD11" t="s" s="524">
        <v>242</v>
      </c>
      <c r="AE11" t="s" s="524">
        <v>138</v>
      </c>
      <c r="AF11" t="s" s="524">
        <v>178</v>
      </c>
      <c r="AG11" t="s" s="524">
        <f>AD11&amp;AE11&amp;AF11</f>
        <v>507</v>
      </c>
      <c r="AH11" s="525">
        <v>11</v>
      </c>
      <c r="AI11" s="525">
        <v>22</v>
      </c>
      <c r="AJ11" s="525">
        <v>9</v>
      </c>
      <c r="AK11" s="525">
        <v>55</v>
      </c>
      <c r="AL11" s="525">
        <v>4</v>
      </c>
      <c r="AM11" s="449"/>
      <c r="AN11" s="525">
        <f>AH11+AI11</f>
        <v>33</v>
      </c>
      <c r="AO11" s="525">
        <f>RANK(AN11,$AN$8:$AN$11,1)</f>
        <v>1</v>
      </c>
    </row>
    <row r="12" ht="13.55" customHeight="1">
      <c r="A12" s="441"/>
      <c r="B12" s="441"/>
      <c r="C12" s="441"/>
      <c r="D12" t="s" s="502">
        <v>435</v>
      </c>
      <c r="E12" s="441"/>
      <c r="F12" s="441"/>
      <c r="G12" s="441"/>
      <c r="H12" t="s" s="502">
        <v>508</v>
      </c>
      <c r="I12" t="s" s="502">
        <v>203</v>
      </c>
      <c r="J12" s="441"/>
      <c r="K12" t="s" s="502">
        <v>509</v>
      </c>
      <c r="L12" t="s" s="502">
        <v>413</v>
      </c>
      <c r="M12" s="520">
        <v>90</v>
      </c>
      <c r="N12" s="441"/>
      <c r="O12" s="441"/>
      <c r="P12" s="441"/>
      <c r="Q12" s="441"/>
      <c r="R12" s="441"/>
      <c r="S12" s="441"/>
      <c r="T12" s="441"/>
      <c r="U12" s="441"/>
      <c r="V12" s="441"/>
      <c r="W12" s="441"/>
      <c r="X12" s="441"/>
      <c r="Y12" s="441"/>
      <c r="Z12" s="441"/>
      <c r="AA12" s="441"/>
      <c r="AB12" s="441"/>
      <c r="AC12" s="441"/>
      <c r="AD12" t="s" s="526">
        <v>483</v>
      </c>
      <c r="AE12" t="s" s="526">
        <v>199</v>
      </c>
      <c r="AF12" t="s" s="526">
        <v>207</v>
      </c>
      <c r="AG12" t="s" s="526">
        <f>AD12&amp;AE12&amp;AF12</f>
        <v>510</v>
      </c>
      <c r="AH12" s="527">
        <v>15</v>
      </c>
      <c r="AI12" s="527">
        <v>26</v>
      </c>
      <c r="AJ12" s="527">
        <v>10</v>
      </c>
      <c r="AK12" s="527">
        <v>95</v>
      </c>
      <c r="AL12" s="527">
        <v>13</v>
      </c>
      <c r="AM12" s="500"/>
      <c r="AN12" s="527">
        <f>AH12+AI12</f>
        <v>41</v>
      </c>
      <c r="AO12" s="527">
        <f>RANK(AN12,$AN$12:$AN$15,1)</f>
        <v>4</v>
      </c>
    </row>
    <row r="13" ht="13.55" customHeight="1">
      <c r="A13" s="441"/>
      <c r="B13" s="441"/>
      <c r="C13" s="441"/>
      <c r="D13" t="s" s="502">
        <v>219</v>
      </c>
      <c r="E13" s="441"/>
      <c r="F13" s="441"/>
      <c r="G13" s="441"/>
      <c r="H13" t="s" s="502">
        <v>511</v>
      </c>
      <c r="I13" t="s" s="502">
        <v>207</v>
      </c>
      <c r="J13" s="441"/>
      <c r="K13" t="s" s="502">
        <v>512</v>
      </c>
      <c r="L13" t="s" s="502">
        <v>427</v>
      </c>
      <c r="M13" s="520">
        <v>90</v>
      </c>
      <c r="N13" s="441"/>
      <c r="O13" s="441"/>
      <c r="P13" s="441"/>
      <c r="Q13" s="441"/>
      <c r="R13" s="441"/>
      <c r="S13" s="441"/>
      <c r="T13" s="441"/>
      <c r="U13" s="441"/>
      <c r="V13" s="441"/>
      <c r="W13" s="441"/>
      <c r="X13" s="441"/>
      <c r="Y13" s="441"/>
      <c r="Z13" s="441"/>
      <c r="AA13" s="441"/>
      <c r="AB13" s="441"/>
      <c r="AC13" s="441"/>
      <c r="AD13" t="s" s="502">
        <v>483</v>
      </c>
      <c r="AE13" t="s" s="502">
        <v>199</v>
      </c>
      <c r="AF13" t="s" s="502">
        <v>203</v>
      </c>
      <c r="AG13" t="s" s="502">
        <f>AD13&amp;AE13&amp;AF13</f>
        <v>513</v>
      </c>
      <c r="AH13" s="505">
        <v>11</v>
      </c>
      <c r="AI13" s="505">
        <v>18</v>
      </c>
      <c r="AJ13" s="505">
        <v>10</v>
      </c>
      <c r="AK13" s="505">
        <v>95</v>
      </c>
      <c r="AL13" s="505">
        <v>13</v>
      </c>
      <c r="AM13" s="441"/>
      <c r="AN13" s="505">
        <f>AH13+AI13</f>
        <v>29</v>
      </c>
      <c r="AO13" s="505">
        <f>RANK(AN13,$AN$12:$AN$15,1)</f>
        <v>2</v>
      </c>
    </row>
    <row r="14" ht="13.55" customHeight="1">
      <c r="A14" s="441"/>
      <c r="B14" s="441"/>
      <c r="C14" s="441"/>
      <c r="D14" t="s" s="502">
        <v>221</v>
      </c>
      <c r="E14" s="441"/>
      <c r="F14" s="441"/>
      <c r="G14" s="441"/>
      <c r="H14" t="s" s="502">
        <v>514</v>
      </c>
      <c r="I14" t="s" s="502">
        <v>189</v>
      </c>
      <c r="J14" s="441"/>
      <c r="K14" t="s" s="502">
        <v>515</v>
      </c>
      <c r="L14" t="s" s="502">
        <v>427</v>
      </c>
      <c r="M14" s="520">
        <v>90</v>
      </c>
      <c r="N14" s="441"/>
      <c r="O14" s="441"/>
      <c r="P14" s="441"/>
      <c r="Q14" s="441"/>
      <c r="R14" s="441"/>
      <c r="S14" s="441"/>
      <c r="T14" s="441"/>
      <c r="U14" s="441"/>
      <c r="V14" s="441"/>
      <c r="W14" s="441"/>
      <c r="X14" s="441"/>
      <c r="Y14" s="441"/>
      <c r="Z14" s="441"/>
      <c r="AA14" s="441"/>
      <c r="AB14" s="441"/>
      <c r="AC14" s="441"/>
      <c r="AD14" t="s" s="502">
        <v>483</v>
      </c>
      <c r="AE14" t="s" s="502">
        <v>199</v>
      </c>
      <c r="AF14" t="s" s="502">
        <v>189</v>
      </c>
      <c r="AG14" t="s" s="502">
        <f>AD14&amp;AE14&amp;AF14</f>
        <v>516</v>
      </c>
      <c r="AH14" s="505">
        <v>11</v>
      </c>
      <c r="AI14" s="505">
        <v>11</v>
      </c>
      <c r="AJ14" s="505">
        <v>10</v>
      </c>
      <c r="AK14" s="505">
        <v>95</v>
      </c>
      <c r="AL14" s="505">
        <v>13</v>
      </c>
      <c r="AM14" s="441"/>
      <c r="AN14" s="505">
        <f>AH14+AI14</f>
        <v>22</v>
      </c>
      <c r="AO14" s="505">
        <f>RANK(AN14,$AN$12:$AN$15,1)</f>
        <v>1</v>
      </c>
    </row>
    <row r="15" ht="13.55" customHeight="1">
      <c r="A15" s="441"/>
      <c r="B15" s="441"/>
      <c r="C15" s="441"/>
      <c r="D15" t="s" s="502">
        <v>440</v>
      </c>
      <c r="E15" s="441"/>
      <c r="F15" s="441"/>
      <c r="G15" s="441"/>
      <c r="H15" t="s" s="502">
        <v>517</v>
      </c>
      <c r="I15" t="s" s="502">
        <v>178</v>
      </c>
      <c r="J15" s="441"/>
      <c r="K15" t="s" s="502">
        <v>215</v>
      </c>
      <c r="L15" t="s" s="502">
        <v>427</v>
      </c>
      <c r="M15" t="s" s="523">
        <v>498</v>
      </c>
      <c r="N15" s="441"/>
      <c r="O15" s="441"/>
      <c r="P15" s="441"/>
      <c r="Q15" s="441"/>
      <c r="R15" s="441"/>
      <c r="S15" s="441"/>
      <c r="T15" s="441"/>
      <c r="U15" s="441"/>
      <c r="V15" s="441"/>
      <c r="W15" s="441"/>
      <c r="X15" s="441"/>
      <c r="Y15" s="441"/>
      <c r="Z15" s="441"/>
      <c r="AA15" s="441"/>
      <c r="AB15" s="441"/>
      <c r="AC15" s="441"/>
      <c r="AD15" t="s" s="524">
        <v>483</v>
      </c>
      <c r="AE15" t="s" s="524">
        <v>199</v>
      </c>
      <c r="AF15" t="s" s="524">
        <v>178</v>
      </c>
      <c r="AG15" t="s" s="524">
        <f>AD15&amp;AE15&amp;AF15</f>
        <v>518</v>
      </c>
      <c r="AH15" s="525">
        <v>11</v>
      </c>
      <c r="AI15" s="525">
        <v>18</v>
      </c>
      <c r="AJ15" s="525">
        <v>10</v>
      </c>
      <c r="AK15" s="525">
        <v>95</v>
      </c>
      <c r="AL15" s="525">
        <v>13</v>
      </c>
      <c r="AM15" s="449"/>
      <c r="AN15" s="525">
        <f>AH15+AI15</f>
        <v>29</v>
      </c>
      <c r="AO15" s="525">
        <f>RANK(AN15,$AN$12:$AN$15,1)</f>
        <v>2</v>
      </c>
    </row>
    <row r="16" ht="13.55" customHeight="1">
      <c r="A16" s="441"/>
      <c r="B16" s="441"/>
      <c r="C16" s="441"/>
      <c r="D16" t="s" s="502">
        <v>442</v>
      </c>
      <c r="E16" s="441"/>
      <c r="F16" s="441"/>
      <c r="G16" s="441"/>
      <c r="H16" t="s" s="502">
        <v>519</v>
      </c>
      <c r="I16" t="s" s="502">
        <v>189</v>
      </c>
      <c r="J16" s="441"/>
      <c r="K16" t="s" s="502">
        <v>520</v>
      </c>
      <c r="L16" t="s" s="502">
        <v>427</v>
      </c>
      <c r="M16" t="s" s="523">
        <v>498</v>
      </c>
      <c r="N16" s="441"/>
      <c r="O16" s="441"/>
      <c r="P16" s="441"/>
      <c r="Q16" s="441"/>
      <c r="R16" s="441"/>
      <c r="S16" s="441"/>
      <c r="T16" s="441"/>
      <c r="U16" s="441"/>
      <c r="V16" s="441"/>
      <c r="W16" s="441"/>
      <c r="X16" s="441"/>
      <c r="Y16" s="441"/>
      <c r="Z16" s="441"/>
      <c r="AA16" s="441"/>
      <c r="AB16" s="441"/>
      <c r="AC16" s="441"/>
      <c r="AD16" t="s" s="526">
        <v>242</v>
      </c>
      <c r="AE16" t="s" s="526">
        <v>199</v>
      </c>
      <c r="AF16" t="s" s="526">
        <v>207</v>
      </c>
      <c r="AG16" t="s" s="526">
        <f>AD16&amp;AE16&amp;AF16</f>
        <v>521</v>
      </c>
      <c r="AH16" s="527">
        <v>18</v>
      </c>
      <c r="AI16" s="527">
        <v>26</v>
      </c>
      <c r="AJ16" s="527">
        <v>12</v>
      </c>
      <c r="AK16" s="527">
        <v>80</v>
      </c>
      <c r="AL16" s="527">
        <v>4</v>
      </c>
      <c r="AM16" s="500"/>
      <c r="AN16" s="527">
        <f>AH16+AI16</f>
        <v>44</v>
      </c>
      <c r="AO16" s="527">
        <f>RANK(AN16,$AN$16:$AN$19,1)</f>
        <v>3</v>
      </c>
    </row>
    <row r="17" ht="13.55" customHeight="1">
      <c r="A17" s="441"/>
      <c r="B17" s="441"/>
      <c r="C17" s="441"/>
      <c r="D17" t="s" s="502">
        <v>175</v>
      </c>
      <c r="E17" s="441"/>
      <c r="F17" s="441"/>
      <c r="G17" s="441"/>
      <c r="H17" t="s" s="502">
        <v>522</v>
      </c>
      <c r="I17" t="s" s="502">
        <v>203</v>
      </c>
      <c r="J17" s="441"/>
      <c r="K17" s="441"/>
      <c r="L17" s="441"/>
      <c r="M17" s="441"/>
      <c r="N17" s="441"/>
      <c r="O17" s="441"/>
      <c r="P17" s="441"/>
      <c r="Q17" s="441"/>
      <c r="R17" s="441"/>
      <c r="S17" s="441"/>
      <c r="T17" s="441"/>
      <c r="U17" s="441"/>
      <c r="V17" s="441"/>
      <c r="W17" s="441"/>
      <c r="X17" s="441"/>
      <c r="Y17" s="441"/>
      <c r="Z17" s="441"/>
      <c r="AA17" s="441"/>
      <c r="AB17" s="441"/>
      <c r="AC17" s="441"/>
      <c r="AD17" t="s" s="502">
        <v>242</v>
      </c>
      <c r="AE17" t="s" s="502">
        <v>199</v>
      </c>
      <c r="AF17" t="s" s="502">
        <v>203</v>
      </c>
      <c r="AG17" t="s" s="502">
        <f>AD17&amp;AE17&amp;AF17</f>
        <v>523</v>
      </c>
      <c r="AH17" s="505">
        <v>18</v>
      </c>
      <c r="AI17" s="505">
        <v>26</v>
      </c>
      <c r="AJ17" s="505">
        <v>12</v>
      </c>
      <c r="AK17" s="505">
        <v>80</v>
      </c>
      <c r="AL17" s="505">
        <v>4</v>
      </c>
      <c r="AM17" s="441"/>
      <c r="AN17" s="505">
        <f>AH17+AI17</f>
        <v>44</v>
      </c>
      <c r="AO17" s="505">
        <f>RANK(AN17,$AN$16:$AN$19,1)</f>
        <v>3</v>
      </c>
    </row>
    <row r="18" ht="13.55" customHeight="1">
      <c r="A18" s="441"/>
      <c r="B18" s="441"/>
      <c r="C18" s="441"/>
      <c r="D18" t="s" s="502">
        <v>211</v>
      </c>
      <c r="E18" s="441"/>
      <c r="F18" s="441"/>
      <c r="G18" s="441"/>
      <c r="H18" t="s" s="502">
        <v>524</v>
      </c>
      <c r="I18" t="s" s="502">
        <v>178</v>
      </c>
      <c r="J18" s="441"/>
      <c r="K18" s="441"/>
      <c r="L18" s="441"/>
      <c r="M18" s="441"/>
      <c r="N18" s="441"/>
      <c r="O18" s="441"/>
      <c r="P18" s="441"/>
      <c r="Q18" s="441"/>
      <c r="R18" s="441"/>
      <c r="S18" s="441"/>
      <c r="T18" s="441"/>
      <c r="U18" s="441"/>
      <c r="V18" s="441"/>
      <c r="W18" s="441"/>
      <c r="X18" s="441"/>
      <c r="Y18" s="441"/>
      <c r="Z18" s="441"/>
      <c r="AA18" s="441"/>
      <c r="AB18" s="441"/>
      <c r="AC18" s="441"/>
      <c r="AD18" t="s" s="502">
        <v>242</v>
      </c>
      <c r="AE18" t="s" s="502">
        <v>199</v>
      </c>
      <c r="AF18" t="s" s="502">
        <v>189</v>
      </c>
      <c r="AG18" t="s" s="502">
        <f>AD18&amp;AE18&amp;AF18</f>
        <v>525</v>
      </c>
      <c r="AH18" s="505">
        <v>15</v>
      </c>
      <c r="AI18" s="505">
        <v>15</v>
      </c>
      <c r="AJ18" s="505">
        <v>12</v>
      </c>
      <c r="AK18" s="505">
        <v>80</v>
      </c>
      <c r="AL18" s="505">
        <v>4</v>
      </c>
      <c r="AM18" s="441"/>
      <c r="AN18" s="505">
        <f>AH18+AI18</f>
        <v>30</v>
      </c>
      <c r="AO18" s="505">
        <f>RANK(AN18,$AN$16:$AN$19,1)</f>
        <v>2</v>
      </c>
    </row>
    <row r="19" ht="13.55" customHeight="1">
      <c r="A19" s="441"/>
      <c r="B19" s="441"/>
      <c r="C19" s="441"/>
      <c r="D19" t="s" s="502">
        <v>190</v>
      </c>
      <c r="E19" s="441"/>
      <c r="F19" s="441"/>
      <c r="G19" s="441"/>
      <c r="H19" t="s" s="502">
        <v>526</v>
      </c>
      <c r="I19" t="s" s="502">
        <v>207</v>
      </c>
      <c r="J19" s="441"/>
      <c r="K19" s="441"/>
      <c r="L19" s="441"/>
      <c r="M19" s="441"/>
      <c r="N19" s="441"/>
      <c r="O19" s="441"/>
      <c r="P19" s="441"/>
      <c r="Q19" s="441"/>
      <c r="R19" s="441"/>
      <c r="S19" s="441"/>
      <c r="T19" s="441"/>
      <c r="U19" s="441"/>
      <c r="V19" s="441"/>
      <c r="W19" s="441"/>
      <c r="X19" s="441"/>
      <c r="Y19" s="441"/>
      <c r="Z19" s="441"/>
      <c r="AA19" s="441"/>
      <c r="AB19" s="441"/>
      <c r="AC19" s="441"/>
      <c r="AD19" t="s" s="502">
        <v>242</v>
      </c>
      <c r="AE19" t="s" s="502">
        <v>199</v>
      </c>
      <c r="AF19" t="s" s="502">
        <v>178</v>
      </c>
      <c r="AG19" t="s" s="502">
        <f>AD19&amp;AE19&amp;AF19</f>
        <v>527</v>
      </c>
      <c r="AH19" s="505">
        <v>11</v>
      </c>
      <c r="AI19" s="505">
        <v>11</v>
      </c>
      <c r="AJ19" s="505">
        <v>12</v>
      </c>
      <c r="AK19" s="505">
        <v>80</v>
      </c>
      <c r="AL19" s="505">
        <v>4</v>
      </c>
      <c r="AM19" s="441"/>
      <c r="AN19" s="505">
        <f>AH19+AI19</f>
        <v>22</v>
      </c>
      <c r="AO19" s="505">
        <f>RANK(AN19,$AN$16:$AN$19,1)</f>
        <v>1</v>
      </c>
    </row>
    <row r="20" ht="13.55" customHeight="1">
      <c r="A20" s="441"/>
      <c r="B20" s="441"/>
      <c r="C20" s="441"/>
      <c r="D20" t="s" s="502">
        <v>445</v>
      </c>
      <c r="E20" s="441"/>
      <c r="F20" s="441"/>
      <c r="G20" s="441"/>
      <c r="H20" s="441"/>
      <c r="I20" t="s" s="502">
        <v>421</v>
      </c>
      <c r="J20" s="441"/>
      <c r="K20" s="441"/>
      <c r="L20" s="441"/>
      <c r="M20" s="441"/>
      <c r="N20" s="441"/>
      <c r="O20" s="441"/>
      <c r="P20" s="441"/>
      <c r="Q20" s="441"/>
      <c r="R20" s="441"/>
      <c r="S20" s="441"/>
      <c r="T20" s="441"/>
      <c r="U20" s="441"/>
      <c r="V20" s="441"/>
      <c r="W20" s="441"/>
      <c r="X20" s="441"/>
      <c r="Y20" s="441"/>
      <c r="Z20" s="441"/>
      <c r="AA20" s="441"/>
      <c r="AB20" s="441"/>
      <c r="AC20" s="441"/>
      <c r="AD20" s="441"/>
      <c r="AE20" s="441"/>
      <c r="AF20" s="441"/>
      <c r="AG20" s="441"/>
      <c r="AH20" s="441"/>
      <c r="AI20" s="441"/>
      <c r="AJ20" s="441"/>
      <c r="AK20" s="441"/>
      <c r="AL20" s="441"/>
      <c r="AM20" s="441"/>
      <c r="AN20" s="441"/>
      <c r="AO20" s="441"/>
    </row>
    <row r="21" ht="13.55" customHeight="1">
      <c r="A21" s="441"/>
      <c r="B21" s="441"/>
      <c r="C21" s="441"/>
      <c r="D21" t="s" s="502">
        <v>446</v>
      </c>
      <c r="E21" s="441"/>
      <c r="F21" s="441"/>
      <c r="G21" s="441"/>
      <c r="H21" s="441"/>
      <c r="I21" s="441"/>
      <c r="J21" s="441"/>
      <c r="K21" s="441"/>
      <c r="L21" s="441"/>
      <c r="M21" s="441"/>
      <c r="N21" s="441"/>
      <c r="O21" s="441"/>
      <c r="P21" s="441"/>
      <c r="Q21" s="441"/>
      <c r="R21" s="441"/>
      <c r="S21" s="441"/>
      <c r="T21" s="441"/>
      <c r="U21" s="441"/>
      <c r="V21" s="441"/>
      <c r="W21" s="441"/>
      <c r="X21" s="441"/>
      <c r="Y21" s="441"/>
      <c r="Z21" s="441"/>
      <c r="AA21" s="441"/>
      <c r="AB21" s="441"/>
      <c r="AC21" s="441"/>
      <c r="AD21" s="441"/>
      <c r="AE21" s="441"/>
      <c r="AF21" s="441"/>
      <c r="AG21" s="441"/>
      <c r="AH21" s="441"/>
      <c r="AI21" s="441"/>
      <c r="AJ21" s="441"/>
      <c r="AK21" s="441"/>
      <c r="AL21" s="441"/>
      <c r="AM21" s="441"/>
      <c r="AN21" s="441"/>
      <c r="AO21" s="441"/>
    </row>
    <row r="22" ht="13.55" customHeight="1">
      <c r="A22" s="441"/>
      <c r="B22" s="441"/>
      <c r="C22" s="441"/>
      <c r="D22" t="s" s="502">
        <v>447</v>
      </c>
      <c r="E22" s="441"/>
      <c r="F22" s="441"/>
      <c r="G22" s="441"/>
      <c r="H22" s="441"/>
      <c r="I22" s="441"/>
      <c r="J22" s="441"/>
      <c r="K22" s="441"/>
      <c r="L22" s="441"/>
      <c r="M22" s="441"/>
      <c r="N22" s="441"/>
      <c r="O22" s="441"/>
      <c r="P22" s="441"/>
      <c r="Q22" s="441"/>
      <c r="R22" s="441"/>
      <c r="S22" s="441"/>
      <c r="T22" s="441"/>
      <c r="U22" s="441"/>
      <c r="V22" s="441"/>
      <c r="W22" s="441"/>
      <c r="X22" s="441"/>
      <c r="Y22" s="441"/>
      <c r="Z22" s="441"/>
      <c r="AA22" s="441"/>
      <c r="AB22" s="441"/>
      <c r="AC22" s="441"/>
      <c r="AD22" s="441"/>
      <c r="AE22" s="441"/>
      <c r="AF22" s="441"/>
      <c r="AG22" s="441"/>
      <c r="AH22" s="441"/>
      <c r="AI22" s="441"/>
      <c r="AJ22" s="441"/>
      <c r="AK22" s="441"/>
      <c r="AL22" s="441"/>
      <c r="AM22" s="441"/>
      <c r="AN22" s="441"/>
      <c r="AO22" s="441"/>
    </row>
    <row r="23" ht="13.55" customHeight="1">
      <c r="A23" s="441"/>
      <c r="B23" s="441"/>
      <c r="C23" s="441"/>
      <c r="D23" t="s" s="502">
        <v>448</v>
      </c>
      <c r="E23" s="441"/>
      <c r="F23" s="441"/>
      <c r="G23" s="441"/>
      <c r="H23" s="441"/>
      <c r="I23" s="441"/>
      <c r="J23" s="441"/>
      <c r="K23" s="441"/>
      <c r="L23" s="441"/>
      <c r="M23" s="441"/>
      <c r="N23" s="441"/>
      <c r="O23" s="441"/>
      <c r="P23" s="441"/>
      <c r="Q23" s="441"/>
      <c r="R23" s="441"/>
      <c r="S23" s="441"/>
      <c r="T23" s="441"/>
      <c r="U23" s="441"/>
      <c r="V23" s="441"/>
      <c r="W23" s="441"/>
      <c r="X23" s="441"/>
      <c r="Y23" s="441"/>
      <c r="Z23" s="441"/>
      <c r="AA23" s="441"/>
      <c r="AB23" s="441"/>
      <c r="AC23" s="441"/>
      <c r="AD23" s="441"/>
      <c r="AE23" s="441"/>
      <c r="AF23" s="441"/>
      <c r="AG23" s="441"/>
      <c r="AH23" s="441"/>
      <c r="AI23" s="441"/>
      <c r="AJ23" s="441"/>
      <c r="AK23" s="441"/>
      <c r="AL23" s="441"/>
      <c r="AM23" s="441"/>
      <c r="AN23" s="441"/>
      <c r="AO23" s="441"/>
    </row>
    <row r="24" ht="13.55" customHeight="1">
      <c r="A24" s="441"/>
      <c r="B24" s="441"/>
      <c r="C24" s="441"/>
      <c r="D24" t="s" s="502">
        <v>187</v>
      </c>
      <c r="E24" s="441"/>
      <c r="F24" s="441"/>
      <c r="G24" s="441"/>
      <c r="H24" s="441"/>
      <c r="I24" s="441"/>
      <c r="J24" s="441"/>
      <c r="K24" s="441"/>
      <c r="L24" s="441"/>
      <c r="M24" s="441"/>
      <c r="N24" s="441"/>
      <c r="O24" s="441"/>
      <c r="P24" s="441"/>
      <c r="Q24" s="441"/>
      <c r="R24" s="441"/>
      <c r="S24" s="441"/>
      <c r="T24" s="441"/>
      <c r="U24" s="441"/>
      <c r="V24" s="441"/>
      <c r="W24" s="441"/>
      <c r="X24" s="441"/>
      <c r="Y24" s="441"/>
      <c r="Z24" s="441"/>
      <c r="AA24" s="441"/>
      <c r="AB24" s="441"/>
      <c r="AC24" s="441"/>
      <c r="AD24" s="441"/>
      <c r="AE24" s="441"/>
      <c r="AF24" s="441"/>
      <c r="AG24" s="441"/>
      <c r="AH24" s="441"/>
      <c r="AI24" s="441"/>
      <c r="AJ24" s="441"/>
      <c r="AK24" s="441"/>
      <c r="AL24" s="441"/>
      <c r="AM24" s="441"/>
      <c r="AN24" s="441"/>
      <c r="AO24" s="441"/>
    </row>
    <row r="25" ht="13.55" customHeight="1">
      <c r="A25" s="441"/>
      <c r="B25" s="441"/>
      <c r="C25" s="441"/>
      <c r="D25" t="s" s="502">
        <v>449</v>
      </c>
      <c r="E25" s="441"/>
      <c r="F25" s="441"/>
      <c r="G25" s="441"/>
      <c r="H25" s="441"/>
      <c r="I25" s="441"/>
      <c r="J25" s="441"/>
      <c r="K25" s="441"/>
      <c r="L25" s="441"/>
      <c r="M25" s="441"/>
      <c r="N25" s="441"/>
      <c r="O25" s="441"/>
      <c r="P25" s="441"/>
      <c r="Q25" s="441"/>
      <c r="R25" s="441"/>
      <c r="S25" s="441"/>
      <c r="T25" s="441"/>
      <c r="U25" s="441"/>
      <c r="V25" s="441"/>
      <c r="W25" s="441"/>
      <c r="X25" s="441"/>
      <c r="Y25" s="441"/>
      <c r="Z25" s="441"/>
      <c r="AA25" s="441"/>
      <c r="AB25" s="441"/>
      <c r="AC25" s="441"/>
      <c r="AD25" s="441"/>
      <c r="AE25" s="441"/>
      <c r="AF25" s="441"/>
      <c r="AG25" s="441"/>
      <c r="AH25" s="441"/>
      <c r="AI25" s="441"/>
      <c r="AJ25" s="441"/>
      <c r="AK25" s="441"/>
      <c r="AL25" s="441"/>
      <c r="AM25" s="441"/>
      <c r="AN25" s="441"/>
      <c r="AO25" s="441"/>
    </row>
    <row r="26" ht="13.55" customHeight="1">
      <c r="A26" s="441"/>
      <c r="B26" s="441"/>
      <c r="C26" s="441"/>
      <c r="D26" t="s" s="502">
        <v>450</v>
      </c>
      <c r="E26" s="441"/>
      <c r="F26" s="441"/>
      <c r="G26" s="441"/>
      <c r="H26" s="441"/>
      <c r="I26" s="441"/>
      <c r="J26" s="441"/>
      <c r="K26" s="441"/>
      <c r="L26" s="441"/>
      <c r="M26" s="441"/>
      <c r="N26" s="441"/>
      <c r="O26" s="441"/>
      <c r="P26" s="441"/>
      <c r="Q26" s="441"/>
      <c r="R26" s="441"/>
      <c r="S26" s="441"/>
      <c r="T26" s="441"/>
      <c r="U26" s="441"/>
      <c r="V26" s="441"/>
      <c r="W26" s="441"/>
      <c r="X26" s="441"/>
      <c r="Y26" s="441"/>
      <c r="Z26" s="441"/>
      <c r="AA26" s="441"/>
      <c r="AB26" s="441"/>
      <c r="AC26" s="441"/>
      <c r="AD26" s="441"/>
      <c r="AE26" s="441"/>
      <c r="AF26" s="441"/>
      <c r="AG26" s="441"/>
      <c r="AH26" s="441"/>
      <c r="AI26" s="441"/>
      <c r="AJ26" s="441"/>
      <c r="AK26" s="441"/>
      <c r="AL26" s="441"/>
      <c r="AM26" s="441"/>
      <c r="AN26" s="441"/>
      <c r="AO26" s="441"/>
    </row>
    <row r="27" ht="13.55" customHeight="1">
      <c r="A27" s="441"/>
      <c r="B27" s="441"/>
      <c r="C27" s="441"/>
      <c r="D27" t="s" s="502">
        <v>184</v>
      </c>
      <c r="E27" s="441"/>
      <c r="F27" s="441"/>
      <c r="G27" s="441"/>
      <c r="H27" s="441"/>
      <c r="I27" s="441"/>
      <c r="J27" s="441"/>
      <c r="K27" s="441"/>
      <c r="L27" s="441"/>
      <c r="M27" s="441"/>
      <c r="N27" s="441"/>
      <c r="O27" s="441"/>
      <c r="P27" s="441"/>
      <c r="Q27" s="441"/>
      <c r="R27" s="441"/>
      <c r="S27" s="441"/>
      <c r="T27" s="441"/>
      <c r="U27" s="441"/>
      <c r="V27" s="441"/>
      <c r="W27" s="441"/>
      <c r="X27" s="441"/>
      <c r="Y27" s="441"/>
      <c r="Z27" s="441"/>
      <c r="AA27" s="441"/>
      <c r="AB27" s="441"/>
      <c r="AC27" s="441"/>
      <c r="AD27" s="441"/>
      <c r="AE27" s="441"/>
      <c r="AF27" s="441"/>
      <c r="AG27" s="441"/>
      <c r="AH27" s="441"/>
      <c r="AI27" s="441"/>
      <c r="AJ27" s="441"/>
      <c r="AK27" s="441"/>
      <c r="AL27" s="441"/>
      <c r="AM27" s="441"/>
      <c r="AN27" s="441"/>
      <c r="AO27" s="441"/>
    </row>
    <row r="28" ht="13.55" customHeight="1">
      <c r="A28" s="441"/>
      <c r="B28" s="441"/>
      <c r="C28" s="441"/>
      <c r="D28" t="s" s="502">
        <v>451</v>
      </c>
      <c r="E28" s="441"/>
      <c r="F28" s="441"/>
      <c r="G28" s="441"/>
      <c r="H28" s="441"/>
      <c r="I28" s="441"/>
      <c r="J28" s="441"/>
      <c r="K28" s="441"/>
      <c r="L28" s="441"/>
      <c r="M28" s="441"/>
      <c r="N28" s="441"/>
      <c r="O28" s="441"/>
      <c r="P28" s="441"/>
      <c r="Q28" s="441"/>
      <c r="R28" s="441"/>
      <c r="S28" s="441"/>
      <c r="T28" s="441"/>
      <c r="U28" s="441"/>
      <c r="V28" s="441"/>
      <c r="W28" s="441"/>
      <c r="X28" s="441"/>
      <c r="Y28" s="441"/>
      <c r="Z28" s="441"/>
      <c r="AA28" s="441"/>
      <c r="AB28" s="441"/>
      <c r="AC28" s="441"/>
      <c r="AD28" s="441"/>
      <c r="AE28" s="441"/>
      <c r="AF28" s="441"/>
      <c r="AG28" s="441"/>
      <c r="AH28" s="441"/>
      <c r="AI28" s="441"/>
      <c r="AJ28" s="441"/>
      <c r="AK28" s="441"/>
      <c r="AL28" s="441"/>
      <c r="AM28" s="441"/>
      <c r="AN28" s="441"/>
      <c r="AO28" s="441"/>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legacyDrawing r:id="rId2"/>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